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/>
  <mc:AlternateContent xmlns:mc="http://schemas.openxmlformats.org/markup-compatibility/2006">
    <mc:Choice Requires="x15">
      <x15ac:absPath xmlns:x15ac="http://schemas.microsoft.com/office/spreadsheetml/2010/11/ac" url="d:\Benutzer\rzepka\Downloads\"/>
    </mc:Choice>
  </mc:AlternateContent>
  <xr:revisionPtr revIDLastSave="0" documentId="8_{828780E5-88F3-4896-9C08-9DC79CC19715}" xr6:coauthVersionLast="36" xr6:coauthVersionMax="36" xr10:uidLastSave="{00000000-0000-0000-0000-000000000000}"/>
  <bookViews>
    <workbookView xWindow="0" yWindow="0" windowWidth="28800" windowHeight="11325" activeTab="5" xr2:uid="{DB837F52-9616-4B37-93F4-BA86C156761E}"/>
  </bookViews>
  <sheets>
    <sheet name="Übersichtsplan_Vorlage" sheetId="6" r:id="rId1"/>
    <sheet name="B.Sc.-Ergänzungsmodule" sheetId="7" r:id="rId2"/>
    <sheet name="Wahlpflichtmodule" sheetId="2" r:id="rId3"/>
    <sheet name="Spezialisierungsfach" sheetId="5" r:id="rId4"/>
    <sheet name="Zusammenfassung" sheetId="4" state="hidden" r:id="rId5"/>
    <sheet name="Hinweise" sheetId="8" r:id="rId6"/>
    <sheet name="Modulliste" sheetId="9" state="hidden" r:id="rId7"/>
  </sheets>
  <externalReferences>
    <externalReference r:id="rId8"/>
  </externalReferences>
  <definedNames>
    <definedName name="_xlnm._FilterDatabase" localSheetId="1" hidden="1">'B.Sc.-Ergänzungsmodule'!$B$4:$C$60</definedName>
    <definedName name="_xlnm._FilterDatabase" localSheetId="6" hidden="1">Modulliste!$A$1:$B$162</definedName>
    <definedName name="_xlnm._FilterDatabase" localSheetId="3" hidden="1">Spezialisierungsfach!$A$10:$K$231</definedName>
    <definedName name="_Hlk102121218" localSheetId="0">Übersichtsplan_Vorlage!#REF!</definedName>
    <definedName name="_Hlk102393560" localSheetId="0">Übersichtsplan_Vorlage!#REF!</definedName>
    <definedName name="B_SF1" localSheetId="5">[1]Spezialisierungsfach!$D$8:$D$21</definedName>
    <definedName name="B_SF1">Spezialisierungsfach!$D$8:$D$21</definedName>
    <definedName name="B_SF10" localSheetId="5">[1]Spezialisierungsfach!$D$158:$D$174</definedName>
    <definedName name="B_SF10">Spezialisierungsfach!$D$158:$D$174</definedName>
    <definedName name="B_SF11" localSheetId="5">[1]Spezialisierungsfach!$D$178:$D$186</definedName>
    <definedName name="B_SF11">Spezialisierungsfach!$D$178:$D$186</definedName>
    <definedName name="B_SF12" localSheetId="5">[1]Spezialisierungsfach!$D$190:$D$199</definedName>
    <definedName name="B_SF12">Spezialisierungsfach!$D$190:$D$199</definedName>
    <definedName name="B_SF13" localSheetId="5">[1]Spezialisierungsfach!$D$203:$D$213</definedName>
    <definedName name="B_SF13">Spezialisierungsfach!$D$203:$D$213</definedName>
    <definedName name="B_SF14" localSheetId="5">[1]Spezialisierungsfach!$D$217:$D$224</definedName>
    <definedName name="B_SF14">Spezialisierungsfach!$D$217:$D$224</definedName>
    <definedName name="B_SF2" localSheetId="5">[1]Spezialisierungsfach!$D$26:$D$43</definedName>
    <definedName name="B_SF2">Spezialisierungsfach!$D$26:$D$43</definedName>
    <definedName name="B_SF3" localSheetId="5">[1]Spezialisierungsfach!$D$47:$D$65</definedName>
    <definedName name="B_SF3">Spezialisierungsfach!$D$47:$D$65</definedName>
    <definedName name="B_SF4" localSheetId="5">[1]Spezialisierungsfach!$D$69:$D$79</definedName>
    <definedName name="B_SF4">Spezialisierungsfach!$D$69:$D$79</definedName>
    <definedName name="B_SF5" localSheetId="5">[1]Spezialisierungsfach!$D$83:$D$98</definedName>
    <definedName name="B_SF5">Spezialisierungsfach!$D$83:$D$98</definedName>
    <definedName name="B_SF6" localSheetId="5">[1]Spezialisierungsfach!$D$102:$D$116</definedName>
    <definedName name="B_SF6">Spezialisierungsfach!$D$102:$D$116</definedName>
    <definedName name="B_SF7" localSheetId="5">[1]Spezialisierungsfach!$D$120:$D$126</definedName>
    <definedName name="B_SF7">Spezialisierungsfach!$D$120:$D$126</definedName>
    <definedName name="B_SF8" localSheetId="5">[1]Spezialisierungsfach!$D$130:$D$135</definedName>
    <definedName name="B_SF8">Spezialisierungsfach!$D$130:$D$135</definedName>
    <definedName name="B_SF9" localSheetId="5">[1]Spezialisierungsfach!$D$139:$D$154</definedName>
    <definedName name="B_SF9">Spezialisierungsfach!$D$139:$D$154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4" l="1"/>
  <c r="H9" i="4"/>
  <c r="H10" i="4"/>
  <c r="H11" i="4"/>
  <c r="H12" i="4"/>
  <c r="H13" i="4"/>
  <c r="H14" i="4"/>
  <c r="H15" i="4"/>
  <c r="H20" i="4"/>
  <c r="H21" i="4"/>
  <c r="H22" i="4"/>
  <c r="H23" i="4"/>
  <c r="H24" i="4"/>
  <c r="H29" i="4"/>
  <c r="H30" i="4"/>
  <c r="C16" i="2"/>
  <c r="H25" i="5" l="1"/>
  <c r="E5" i="7"/>
  <c r="C63" i="5"/>
  <c r="C130" i="5"/>
  <c r="C30" i="5"/>
  <c r="C50" i="7"/>
  <c r="C165" i="5"/>
  <c r="C45" i="7"/>
  <c r="C210" i="5"/>
  <c r="C223" i="5"/>
  <c r="C74" i="5"/>
  <c r="C24" i="7"/>
  <c r="C134" i="5"/>
  <c r="C21" i="5"/>
  <c r="C73" i="5"/>
  <c r="C85" i="5"/>
  <c r="C217" i="5"/>
  <c r="C98" i="5"/>
  <c r="C171" i="5"/>
  <c r="C40" i="5"/>
  <c r="C92" i="5"/>
  <c r="C88" i="5"/>
  <c r="C57" i="7"/>
  <c r="C28" i="5"/>
  <c r="C164" i="5"/>
  <c r="C84" i="5"/>
  <c r="C59" i="7"/>
  <c r="C11" i="2"/>
  <c r="C62" i="5"/>
  <c r="C14" i="7"/>
  <c r="C148" i="5"/>
  <c r="C198" i="5"/>
  <c r="C139" i="5"/>
  <c r="C20" i="7"/>
  <c r="C158" i="5"/>
  <c r="C27" i="7"/>
  <c r="C174" i="5"/>
  <c r="C29" i="5"/>
  <c r="C172" i="5"/>
  <c r="C37" i="5"/>
  <c r="C33" i="5"/>
  <c r="C218" i="5"/>
  <c r="C43" i="5"/>
  <c r="C170" i="5"/>
  <c r="C22" i="7"/>
  <c r="C47" i="5"/>
  <c r="C104" i="5"/>
  <c r="C166" i="5"/>
  <c r="C10" i="5"/>
  <c r="C30" i="7"/>
  <c r="C10" i="2"/>
  <c r="C36" i="5"/>
  <c r="C5" i="7"/>
  <c r="C35" i="7"/>
  <c r="C190" i="5"/>
  <c r="C71" i="5"/>
  <c r="C60" i="7"/>
  <c r="C115" i="5"/>
  <c r="C29" i="7"/>
  <c r="C184" i="5"/>
  <c r="C79" i="5"/>
  <c r="C162" i="5"/>
  <c r="C9" i="5"/>
  <c r="C56" i="5"/>
  <c r="C205" i="5"/>
  <c r="C146" i="5"/>
  <c r="C97" i="5"/>
  <c r="C131" i="5"/>
  <c r="C36" i="7"/>
  <c r="C105" i="5"/>
  <c r="C206" i="5"/>
  <c r="C149" i="5"/>
  <c r="C208" i="5"/>
  <c r="C7" i="2"/>
  <c r="C186" i="5"/>
  <c r="C34" i="7"/>
  <c r="C39" i="5"/>
  <c r="C120" i="5"/>
  <c r="C161" i="5"/>
  <c r="C219" i="5"/>
  <c r="C16" i="5"/>
  <c r="C19" i="7"/>
  <c r="C108" i="5"/>
  <c r="C51" i="7"/>
  <c r="C211" i="5"/>
  <c r="C33" i="7"/>
  <c r="C41" i="7"/>
  <c r="C111" i="5"/>
  <c r="C169" i="5"/>
  <c r="C61" i="5"/>
  <c r="C185" i="5"/>
  <c r="C150" i="5"/>
  <c r="C209" i="5"/>
  <c r="C83" i="5"/>
  <c r="C55" i="7"/>
  <c r="C6" i="7"/>
  <c r="C132" i="5"/>
  <c r="C224" i="5"/>
  <c r="C41" i="5"/>
  <c r="C163" i="5"/>
  <c r="C147" i="5"/>
  <c r="C91" i="5"/>
  <c r="C135" i="5"/>
  <c r="C56" i="7"/>
  <c r="C204" i="5"/>
  <c r="C6" i="2"/>
  <c r="C42" i="5"/>
  <c r="C103" i="5"/>
  <c r="C9" i="7"/>
  <c r="C141" i="5"/>
  <c r="C167" i="5"/>
  <c r="C143" i="5"/>
  <c r="C116" i="5"/>
  <c r="C20" i="5"/>
  <c r="C87" i="5"/>
  <c r="C18" i="7"/>
  <c r="C114" i="5"/>
  <c r="C26" i="7"/>
  <c r="C77" i="5"/>
  <c r="C93" i="5"/>
  <c r="C142" i="5"/>
  <c r="C31" i="5"/>
  <c r="C69" i="5"/>
  <c r="C94" i="5"/>
  <c r="C96" i="5"/>
  <c r="C34" i="5"/>
  <c r="C58" i="5"/>
  <c r="C75" i="5"/>
  <c r="C53" i="5"/>
  <c r="C35" i="5"/>
  <c r="C28" i="7"/>
  <c r="C52" i="5"/>
  <c r="C51" i="5"/>
  <c r="C39" i="7"/>
  <c r="C191" i="5"/>
  <c r="C180" i="5"/>
  <c r="C222" i="5"/>
  <c r="C52" i="7"/>
  <c r="C90" i="5"/>
  <c r="C196" i="5"/>
  <c r="C46" i="7"/>
  <c r="C199" i="5"/>
  <c r="C145" i="5"/>
  <c r="C42" i="7"/>
  <c r="C54" i="7"/>
  <c r="C8" i="5"/>
  <c r="C14" i="5"/>
  <c r="C140" i="5"/>
  <c r="C133" i="5"/>
  <c r="C125" i="5"/>
  <c r="C207" i="5"/>
  <c r="C220" i="5"/>
  <c r="C25" i="7"/>
  <c r="C17" i="2"/>
  <c r="C38" i="5"/>
  <c r="C153" i="5"/>
  <c r="C107" i="5"/>
  <c r="C193" i="5"/>
  <c r="C183" i="5"/>
  <c r="C10" i="7"/>
  <c r="C17" i="7"/>
  <c r="C179" i="5"/>
  <c r="C151" i="5"/>
  <c r="C18" i="5"/>
  <c r="C37" i="7"/>
  <c r="C19" i="5"/>
  <c r="C49" i="7"/>
  <c r="C89" i="5"/>
  <c r="C17" i="5"/>
  <c r="C16" i="7"/>
  <c r="C13" i="7"/>
  <c r="C181" i="5"/>
  <c r="C102" i="5"/>
  <c r="C15" i="5"/>
  <c r="C212" i="5"/>
  <c r="C40" i="7"/>
  <c r="C197" i="5"/>
  <c r="C58" i="7"/>
  <c r="C192" i="5"/>
  <c r="C8" i="7"/>
  <c r="C11" i="7"/>
  <c r="C12" i="2"/>
  <c r="C65" i="5"/>
  <c r="C159" i="5"/>
  <c r="C15" i="7"/>
  <c r="C38" i="7"/>
  <c r="C31" i="7"/>
  <c r="C23" i="7"/>
  <c r="C32" i="5"/>
  <c r="C12" i="5"/>
  <c r="C78" i="5"/>
  <c r="C57" i="5"/>
  <c r="C70" i="5"/>
  <c r="C86" i="5"/>
  <c r="C213" i="5"/>
  <c r="C113" i="5"/>
  <c r="C54" i="5"/>
  <c r="C124" i="5"/>
  <c r="C178" i="5"/>
  <c r="C64" i="5"/>
  <c r="C26" i="5"/>
  <c r="C110" i="5"/>
  <c r="C195" i="5"/>
  <c r="C160" i="5"/>
  <c r="C112" i="5"/>
  <c r="C48" i="7"/>
  <c r="C13" i="5"/>
  <c r="C221" i="5"/>
  <c r="C53" i="7"/>
  <c r="C43" i="7"/>
  <c r="C49" i="5"/>
  <c r="C109" i="5"/>
  <c r="C32" i="7"/>
  <c r="C173" i="5"/>
  <c r="C95" i="5"/>
  <c r="C203" i="5"/>
  <c r="C55" i="5"/>
  <c r="C7" i="7"/>
  <c r="C11" i="5"/>
  <c r="C59" i="5"/>
  <c r="C76" i="5"/>
  <c r="C123" i="5"/>
  <c r="C168" i="5"/>
  <c r="C48" i="5"/>
  <c r="C144" i="5"/>
  <c r="C12" i="7"/>
  <c r="C60" i="5"/>
  <c r="C72" i="5"/>
  <c r="C182" i="5"/>
  <c r="C194" i="5"/>
  <c r="C106" i="5"/>
  <c r="C21" i="7"/>
  <c r="C121" i="5"/>
  <c r="C44" i="7"/>
  <c r="C152" i="5"/>
  <c r="C154" i="5"/>
  <c r="C126" i="5"/>
  <c r="C50" i="5"/>
  <c r="C122" i="5"/>
  <c r="C47" i="7"/>
  <c r="C27" i="5"/>
  <c r="D42" i="6" l="1"/>
  <c r="A42" i="6"/>
  <c r="C34" i="4" l="1"/>
  <c r="E16" i="2" l="1"/>
  <c r="E17" i="2"/>
  <c r="E11" i="2"/>
  <c r="E12" i="2"/>
  <c r="E10" i="2"/>
  <c r="E7" i="2"/>
  <c r="E6" i="2"/>
  <c r="E5" i="4" l="1"/>
  <c r="B5" i="4" s="1"/>
  <c r="F3" i="2"/>
  <c r="A3" i="2" s="1"/>
  <c r="E6" i="4"/>
  <c r="E7" i="4"/>
  <c r="B7" i="4" s="1"/>
  <c r="G3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C5" i="4"/>
  <c r="C7" i="4"/>
  <c r="B6" i="4" l="1"/>
  <c r="A3" i="7"/>
  <c r="G6" i="7"/>
  <c r="E43" i="6"/>
  <c r="G1" i="7"/>
  <c r="G2" i="7"/>
  <c r="B32" i="4" s="1"/>
  <c r="C6" i="4"/>
  <c r="B33" i="4" l="1"/>
  <c r="B31" i="4"/>
  <c r="C32" i="4"/>
  <c r="C31" i="4"/>
  <c r="B16" i="6" l="1"/>
  <c r="B15" i="6"/>
  <c r="A15" i="6"/>
  <c r="A16" i="6"/>
  <c r="H46" i="5"/>
  <c r="H216" i="5"/>
  <c r="H202" i="5"/>
  <c r="J204" i="5" s="1"/>
  <c r="H189" i="5"/>
  <c r="H177" i="5"/>
  <c r="H157" i="5"/>
  <c r="H138" i="5"/>
  <c r="H129" i="5"/>
  <c r="J132" i="5" s="1"/>
  <c r="H119" i="5"/>
  <c r="J121" i="5" s="1"/>
  <c r="H101" i="5"/>
  <c r="H82" i="5"/>
  <c r="H68" i="5"/>
  <c r="J75" i="5" s="1"/>
  <c r="H7" i="5"/>
  <c r="J76" i="5" l="1"/>
  <c r="J221" i="5"/>
  <c r="J183" i="5"/>
  <c r="J182" i="5"/>
  <c r="J185" i="5"/>
  <c r="J184" i="5"/>
  <c r="J181" i="5"/>
  <c r="J180" i="5"/>
  <c r="J179" i="5"/>
  <c r="J154" i="5"/>
  <c r="J153" i="5"/>
  <c r="J196" i="5"/>
  <c r="J191" i="5"/>
  <c r="J195" i="5"/>
  <c r="J192" i="5"/>
  <c r="J199" i="5"/>
  <c r="J198" i="5"/>
  <c r="J197" i="5"/>
  <c r="J194" i="5"/>
  <c r="J209" i="5"/>
  <c r="J210" i="5"/>
  <c r="J208" i="5"/>
  <c r="J207" i="5"/>
  <c r="J205" i="5"/>
  <c r="J212" i="5"/>
  <c r="J169" i="5"/>
  <c r="J167" i="5"/>
  <c r="J159" i="5"/>
  <c r="J171" i="5"/>
  <c r="J163" i="5"/>
  <c r="J170" i="5"/>
  <c r="J162" i="5"/>
  <c r="J168" i="5"/>
  <c r="J166" i="5"/>
  <c r="J173" i="5"/>
  <c r="J165" i="5"/>
  <c r="J160" i="5"/>
  <c r="J174" i="5"/>
  <c r="J172" i="5"/>
  <c r="J164" i="5"/>
  <c r="J131" i="5"/>
  <c r="J133" i="5"/>
  <c r="J134" i="5"/>
  <c r="J150" i="5"/>
  <c r="J142" i="5"/>
  <c r="J149" i="5"/>
  <c r="J141" i="5"/>
  <c r="J147" i="5"/>
  <c r="J140" i="5"/>
  <c r="J148" i="5"/>
  <c r="J146" i="5"/>
  <c r="J145" i="5"/>
  <c r="J144" i="5"/>
  <c r="J152" i="5"/>
  <c r="J151" i="5"/>
  <c r="J143" i="5"/>
  <c r="J105" i="5"/>
  <c r="J103" i="5"/>
  <c r="J104" i="5"/>
  <c r="J110" i="5"/>
  <c r="J109" i="5"/>
  <c r="J108" i="5"/>
  <c r="J113" i="5"/>
  <c r="J112" i="5"/>
  <c r="J111" i="5"/>
  <c r="J115" i="5"/>
  <c r="J107" i="5"/>
  <c r="J114" i="5"/>
  <c r="J106" i="5"/>
  <c r="J124" i="5"/>
  <c r="J122" i="5"/>
  <c r="J74" i="5"/>
  <c r="J73" i="5"/>
  <c r="J71" i="5"/>
  <c r="J70" i="5"/>
  <c r="J77" i="5"/>
  <c r="J85" i="5"/>
  <c r="J84" i="5"/>
  <c r="J83" i="5"/>
  <c r="J91" i="5"/>
  <c r="J93" i="5"/>
  <c r="J92" i="5"/>
  <c r="J98" i="5"/>
  <c r="J90" i="5"/>
  <c r="J89" i="5"/>
  <c r="J88" i="5"/>
  <c r="J95" i="5"/>
  <c r="J87" i="5"/>
  <c r="J97" i="5"/>
  <c r="J96" i="5"/>
  <c r="J94" i="5"/>
  <c r="J86" i="5"/>
  <c r="J42" i="5"/>
  <c r="J34" i="5"/>
  <c r="J41" i="5"/>
  <c r="J38" i="5"/>
  <c r="J33" i="5"/>
  <c r="J37" i="5"/>
  <c r="J36" i="5"/>
  <c r="J35" i="5"/>
  <c r="H2" i="5"/>
  <c r="A4" i="5" s="1"/>
  <c r="J59" i="5"/>
  <c r="J58" i="5"/>
  <c r="J49" i="5"/>
  <c r="J56" i="5"/>
  <c r="J55" i="5"/>
  <c r="J63" i="5"/>
  <c r="J54" i="5"/>
  <c r="J50" i="5"/>
  <c r="J62" i="5"/>
  <c r="J57" i="5"/>
  <c r="J18" i="5"/>
  <c r="J20" i="5"/>
  <c r="J19" i="5"/>
  <c r="J17" i="5"/>
  <c r="C12" i="4" l="1"/>
  <c r="E44" i="6" s="1"/>
  <c r="C20" i="6" l="1"/>
  <c r="C9" i="4" l="1"/>
  <c r="A43" i="6" s="1"/>
  <c r="B21" i="6"/>
  <c r="B22" i="6"/>
  <c r="C22" i="6"/>
  <c r="C21" i="6"/>
  <c r="B20" i="6" l="1"/>
  <c r="I6" i="5"/>
  <c r="N2" i="5" l="1"/>
  <c r="A3" i="5"/>
  <c r="A47" i="6" s="1"/>
  <c r="J6" i="5"/>
  <c r="J10" i="5"/>
  <c r="J14" i="5"/>
  <c r="J11" i="5"/>
  <c r="J15" i="5"/>
  <c r="J9" i="5"/>
  <c r="J13" i="5"/>
  <c r="J21" i="5"/>
  <c r="J12" i="5"/>
  <c r="J16" i="5"/>
  <c r="I24" i="5"/>
  <c r="J40" i="5" s="1"/>
  <c r="J8" i="5"/>
  <c r="J30" i="5" l="1"/>
  <c r="J32" i="5"/>
  <c r="J28" i="5"/>
  <c r="J29" i="5"/>
  <c r="J27" i="5"/>
  <c r="J39" i="5"/>
  <c r="J43" i="5"/>
  <c r="J31" i="5"/>
  <c r="J26" i="5"/>
  <c r="I45" i="5"/>
  <c r="J24" i="5"/>
  <c r="J64" i="5"/>
  <c r="J52" i="5" l="1"/>
  <c r="J61" i="5"/>
  <c r="J53" i="5"/>
  <c r="I67" i="5"/>
  <c r="J65" i="5"/>
  <c r="J48" i="5"/>
  <c r="J60" i="5"/>
  <c r="J45" i="5"/>
  <c r="J51" i="5"/>
  <c r="J47" i="5"/>
  <c r="I81" i="5" l="1"/>
  <c r="J67" i="5"/>
  <c r="J116" i="5"/>
  <c r="J102" i="5"/>
  <c r="J78" i="5"/>
  <c r="J79" i="5"/>
  <c r="J72" i="5"/>
  <c r="J69" i="5"/>
  <c r="I100" i="5" l="1"/>
  <c r="J81" i="5"/>
  <c r="J135" i="5"/>
  <c r="I118" i="5" l="1"/>
  <c r="J126" i="5" s="1"/>
  <c r="J100" i="5"/>
  <c r="J123" i="5" l="1"/>
  <c r="J125" i="5"/>
  <c r="I128" i="5"/>
  <c r="J118" i="5"/>
  <c r="J120" i="5"/>
  <c r="I137" i="5" l="1"/>
  <c r="J128" i="5"/>
  <c r="J130" i="5"/>
  <c r="I156" i="5" l="1"/>
  <c r="J139" i="5"/>
  <c r="J137" i="5"/>
  <c r="I176" i="5" l="1"/>
  <c r="I188" i="5" s="1"/>
  <c r="J161" i="5"/>
  <c r="J186" i="5"/>
  <c r="J176" i="5"/>
  <c r="J178" i="5"/>
  <c r="J158" i="5"/>
  <c r="J156" i="5"/>
  <c r="J193" i="5" l="1"/>
  <c r="J188" i="5"/>
  <c r="I201" i="5"/>
  <c r="J190" i="5"/>
  <c r="J211" i="5" l="1"/>
  <c r="J213" i="5"/>
  <c r="J201" i="5"/>
  <c r="J206" i="5"/>
  <c r="I215" i="5"/>
  <c r="J203" i="5"/>
  <c r="J223" i="5" l="1"/>
  <c r="J218" i="5"/>
  <c r="J222" i="5"/>
  <c r="J219" i="5"/>
  <c r="J215" i="5"/>
  <c r="E15" i="4" s="1"/>
  <c r="A15" i="4" s="1"/>
  <c r="A23" i="6" s="1"/>
  <c r="J220" i="5"/>
  <c r="J224" i="5"/>
  <c r="E24" i="4" s="1"/>
  <c r="J217" i="5"/>
  <c r="E26" i="4" s="1"/>
  <c r="E16" i="4" l="1"/>
  <c r="B16" i="4" s="1"/>
  <c r="B26" i="4"/>
  <c r="L16" i="5"/>
  <c r="M10" i="5"/>
  <c r="L8" i="5"/>
  <c r="M8" i="5" s="1"/>
  <c r="L17" i="5"/>
  <c r="M17" i="5" s="1"/>
  <c r="L18" i="5"/>
  <c r="M18" i="5" s="1"/>
  <c r="L9" i="5"/>
  <c r="M9" i="5" s="1"/>
  <c r="L7" i="5"/>
  <c r="M19" i="5"/>
  <c r="E17" i="4"/>
  <c r="E28" i="4"/>
  <c r="A24" i="4"/>
  <c r="A33" i="6" s="1"/>
  <c r="E27" i="4"/>
  <c r="E25" i="4"/>
  <c r="E19" i="4"/>
  <c r="E18" i="4"/>
  <c r="C26" i="4"/>
  <c r="C16" i="4"/>
  <c r="B37" i="6" l="1"/>
  <c r="B26" i="6"/>
  <c r="M20" i="5"/>
  <c r="E47" i="6" s="1"/>
  <c r="B19" i="4"/>
  <c r="B28" i="4"/>
  <c r="B17" i="4"/>
  <c r="B27" i="4"/>
  <c r="B18" i="4"/>
  <c r="M7" i="5"/>
  <c r="M11" i="5" s="1"/>
  <c r="C20" i="4" s="1"/>
  <c r="B25" i="4"/>
  <c r="A37" i="6"/>
  <c r="A26" i="6"/>
  <c r="M16" i="5"/>
  <c r="C17" i="4"/>
  <c r="C28" i="4"/>
  <c r="C19" i="4"/>
  <c r="C25" i="4"/>
  <c r="C27" i="4"/>
  <c r="C18" i="4"/>
  <c r="B29" i="6" l="1"/>
  <c r="B28" i="6"/>
  <c r="B39" i="6"/>
  <c r="B38" i="6"/>
  <c r="B36" i="6"/>
  <c r="B27" i="6"/>
  <c r="A28" i="6"/>
  <c r="A27" i="6"/>
  <c r="G5" i="4"/>
  <c r="H5" i="4" s="1"/>
  <c r="G17" i="4"/>
  <c r="H17" i="4" s="1"/>
  <c r="G32" i="4"/>
  <c r="H32" i="4" s="1"/>
  <c r="G18" i="4"/>
  <c r="H18" i="4" s="1"/>
  <c r="G31" i="4"/>
  <c r="H31" i="4" s="1"/>
  <c r="G16" i="4"/>
  <c r="H16" i="4" s="1"/>
  <c r="G7" i="4"/>
  <c r="H7" i="4" s="1"/>
  <c r="G26" i="4"/>
  <c r="H26" i="4" s="1"/>
  <c r="A36" i="6"/>
  <c r="G25" i="4"/>
  <c r="H25" i="4" s="1"/>
  <c r="A38" i="6"/>
  <c r="G27" i="4"/>
  <c r="H27" i="4" s="1"/>
  <c r="A29" i="6"/>
  <c r="G19" i="4"/>
  <c r="H19" i="4" s="1"/>
  <c r="A39" i="6"/>
  <c r="G28" i="4"/>
  <c r="H28" i="4" s="1"/>
  <c r="G6" i="4"/>
  <c r="H6" i="4" s="1"/>
  <c r="L3" i="4" l="1"/>
  <c r="J5" i="4"/>
  <c r="G4" i="4"/>
  <c r="C36" i="4" s="1"/>
  <c r="A44" i="6" l="1"/>
  <c r="A45" i="6" l="1"/>
  <c r="K5" i="4" l="1"/>
</calcChain>
</file>

<file path=xl/sharedStrings.xml><?xml version="1.0" encoding="utf-8"?>
<sst xmlns="http://schemas.openxmlformats.org/spreadsheetml/2006/main" count="612" uniqueCount="285">
  <si>
    <t>Informationstechnik und Wissensverarbeitung in der Produktentwicklung</t>
  </si>
  <si>
    <t>Virtuelles Engineering</t>
  </si>
  <si>
    <t>Modulnummer</t>
  </si>
  <si>
    <t>Modulname</t>
  </si>
  <si>
    <t>Gruppe 1</t>
  </si>
  <si>
    <t>Gruppe 2</t>
  </si>
  <si>
    <t>Methodische Produktentwicklung</t>
  </si>
  <si>
    <t>Gruppe 3</t>
  </si>
  <si>
    <t>Methoden der Werkstoffsimulation</t>
  </si>
  <si>
    <t>Festigkeitslehre I </t>
  </si>
  <si>
    <t>Kunststofftechnik - Grundlagen und Einführung</t>
  </si>
  <si>
    <t>Technologiemanagement</t>
  </si>
  <si>
    <t>Kraftfahrzeuge I + II</t>
  </si>
  <si>
    <t>Ackerschlepper und Ölhydraulik</t>
  </si>
  <si>
    <t>Dichtungstechnik</t>
  </si>
  <si>
    <t>Gerätekonstruktion und -fertigung in der Feinwerktechnik</t>
  </si>
  <si>
    <t>Kraftfahrzeugmechatronik I + II</t>
  </si>
  <si>
    <t>Technisches Design</t>
  </si>
  <si>
    <t>Zuverlässigkeitstechnik</t>
  </si>
  <si>
    <t>Grundlagen Schienenfahrzeugtechnik und -betrieb</t>
  </si>
  <si>
    <t>Grundlagen der Umformtechnik</t>
  </si>
  <si>
    <t>Werkzeugmaschinen und Produktionssysteme</t>
  </si>
  <si>
    <t>Wissens- und Informationsmanagement in der Produktion</t>
  </si>
  <si>
    <t>Grundlagen der Technischen Optik</t>
  </si>
  <si>
    <t>Materialbearbeitung mit Lasern</t>
  </si>
  <si>
    <t>Steuerungstechnik der Werkzeugmaschinen und Industrieroboter</t>
  </si>
  <si>
    <t>Design und Fertigung mikro- und nanoelektronischer Systeme</t>
  </si>
  <si>
    <t>Simulationstechnik</t>
  </si>
  <si>
    <t>Dynamik mechanischer Systeme</t>
  </si>
  <si>
    <t>Chemische Reaktionstechnik I</t>
  </si>
  <si>
    <t>Energie- und Umwelttechnik</t>
  </si>
  <si>
    <t>Grundlagen der Mechanischen Verfahrenstechnik</t>
  </si>
  <si>
    <t>Grundlagen der Thermischen Strömungsmaschinen</t>
  </si>
  <si>
    <t>Grundlagen Technischer Verbrennungsvorgänge I + II</t>
  </si>
  <si>
    <t>Hydraulische Strömungsmaschinen in der Wasserkraft</t>
  </si>
  <si>
    <t>Kerntechnische Anlagen zur Energieerzeugung</t>
  </si>
  <si>
    <t>Numerische Strömungssimulation</t>
  </si>
  <si>
    <t>Thermische Verfahrenstechnik I</t>
  </si>
  <si>
    <t>Grundlagen der Biomedizinischen Technik</t>
  </si>
  <si>
    <t>Auswahl</t>
  </si>
  <si>
    <t>Vertiefungsmodule</t>
  </si>
  <si>
    <t>Vergleich</t>
  </si>
  <si>
    <t>Wert</t>
  </si>
  <si>
    <t>Fehlermeldung, wenn mehr als 4 Module</t>
  </si>
  <si>
    <t>Methoden der Produktentwicklung</t>
  </si>
  <si>
    <t>Interface-Design</t>
  </si>
  <si>
    <t>Anwendung der Methode der Finiten Elemente im Maschinenbau</t>
  </si>
  <si>
    <t>DOE – Effiziente, statistische Versuchsplanung</t>
  </si>
  <si>
    <t>Dynamiksimulation in der Produktentwicklung</t>
  </si>
  <si>
    <t>Einführung in das wissenschaftliche Arbeiten in der Produktentwicklung</t>
  </si>
  <si>
    <t>Leichtbauproduktentwicklungsmethoden und -technologien in frühen Phasen</t>
  </si>
  <si>
    <t>Simulation im technischen Entwicklungsprozess</t>
  </si>
  <si>
    <t>Value Management</t>
  </si>
  <si>
    <t>Praktikum Konstruktionstechnik</t>
  </si>
  <si>
    <t>Module</t>
  </si>
  <si>
    <t>KF, 6 ECTS</t>
  </si>
  <si>
    <t>EF, 6 ECTS</t>
  </si>
  <si>
    <t>EF, 3 ECTS</t>
  </si>
  <si>
    <t>Praktikum</t>
  </si>
  <si>
    <t>Anwendung der Konstruktionstechnik</t>
  </si>
  <si>
    <t>Fahrzeug-Design</t>
  </si>
  <si>
    <t>Grundlagen der Kraftfahrzeuge</t>
  </si>
  <si>
    <t>Grundlagen der Tribologie</t>
  </si>
  <si>
    <t>Grundlagen der Wälzlagertechnik</t>
  </si>
  <si>
    <t>Industriegetriebe</t>
  </si>
  <si>
    <t>Planetengetriebe</t>
  </si>
  <si>
    <t>x</t>
  </si>
  <si>
    <t>KF_6</t>
  </si>
  <si>
    <t>EF_6</t>
  </si>
  <si>
    <t>EF_3</t>
  </si>
  <si>
    <t>Pra</t>
  </si>
  <si>
    <t>Interior Design Engineering</t>
  </si>
  <si>
    <t>Arbeitswissenschaft</t>
  </si>
  <si>
    <t>Konstruieren mit Kunststoffen</t>
  </si>
  <si>
    <t>Lacktechnik- Lacke und Pigmente</t>
  </si>
  <si>
    <t>Mensch-Rechner-Interaktion</t>
  </si>
  <si>
    <t>Faserkunststoffverbunde</t>
  </si>
  <si>
    <t>Praktische Anwendungen Fahrzeug-Interior Design</t>
  </si>
  <si>
    <t>Virtuelle und erweiterte Realität in der technisch-wissenschaftlichen Visualisierung</t>
  </si>
  <si>
    <t>Hinweis</t>
  </si>
  <si>
    <t>In Spalte c muss für jedes SF ein Bereich definiert werden --&gt; C8 bis C21 markieren, Name B_SF1 oben links eingeben, dann Strg+Umsch+Eingabetaste</t>
  </si>
  <si>
    <t>B_SF1</t>
  </si>
  <si>
    <t>B_SF2</t>
  </si>
  <si>
    <t>B_SF3</t>
  </si>
  <si>
    <t>SF 1</t>
  </si>
  <si>
    <t>KF_61</t>
  </si>
  <si>
    <t>EF_61</t>
  </si>
  <si>
    <t>EF_31</t>
  </si>
  <si>
    <t>Pra1</t>
  </si>
  <si>
    <t>SF 2</t>
  </si>
  <si>
    <t>KF_62</t>
  </si>
  <si>
    <t>EF_62</t>
  </si>
  <si>
    <t>EF_32</t>
  </si>
  <si>
    <t>Pra2</t>
  </si>
  <si>
    <t>Spezialisierungsfach 1</t>
  </si>
  <si>
    <t>Pra, 1 ECTS</t>
  </si>
  <si>
    <t>Pra, 2 ECTS</t>
  </si>
  <si>
    <t xml:space="preserve">Grundlagen der Fahrzeugantriebe </t>
  </si>
  <si>
    <t>Materialfluss- und Fördertechnik</t>
  </si>
  <si>
    <t>Markenrecht und Designschutz</t>
  </si>
  <si>
    <t>Praktikum Technisches Design</t>
  </si>
  <si>
    <t>Agrartechnik</t>
  </si>
  <si>
    <t>Landmaschinen I und II</t>
  </si>
  <si>
    <t>Getriebelehre: Grundlagen der Kinematik</t>
  </si>
  <si>
    <t>Baumaschinen</t>
  </si>
  <si>
    <t>Praktikum Agrartechnik</t>
  </si>
  <si>
    <t>Feinwerktechnik</t>
  </si>
  <si>
    <t>Aktorik in der Gerätetechnik; Konstruktion, Berechnung und Anwendung mechatronischer Komponenten</t>
  </si>
  <si>
    <t>Praxis des Spritzgießens in der Gerätetechnik, Verfahren, Prozesskette, Simulation</t>
  </si>
  <si>
    <t>Grundlagen der Mikro- und Mikrosystemtechnik</t>
  </si>
  <si>
    <t>Optische Messtechnik und Messverfahren</t>
  </si>
  <si>
    <t>Technologien der Nano- und Mikrosystemtechnik I</t>
  </si>
  <si>
    <t>Deutsches und europäisches Patentrecht (Gewerblicher Rechtsschutz I)</t>
  </si>
  <si>
    <t>Elektrische Bauelemente in der Feinwerktechnik</t>
  </si>
  <si>
    <t>Elektronik für Feinwerktechniker</t>
  </si>
  <si>
    <t>Elektronische Bauelemente in der Mikrosystemtechnik</t>
  </si>
  <si>
    <t>Praktische FEM-Simulation mit ANSYS und MAXWELL</t>
  </si>
  <si>
    <t>Praktikum Feinwerktechnik</t>
  </si>
  <si>
    <t>Festigkeitsberechnung und Werkstoffmechanik</t>
  </si>
  <si>
    <t>Leichtbau</t>
  </si>
  <si>
    <t>Werkstoffe und Festigkeit</t>
  </si>
  <si>
    <t>Werkstoffeigenschaften</t>
  </si>
  <si>
    <t>Additive Fertigung</t>
  </si>
  <si>
    <t>Festigkeitslehre II</t>
  </si>
  <si>
    <t>Fügetechnik</t>
  </si>
  <si>
    <t>Neue Werkstoffe und moderne Produktionsverfahren im Automobilbau</t>
  </si>
  <si>
    <t>Schadenskunde</t>
  </si>
  <si>
    <t>Werkstoffmodellierung</t>
  </si>
  <si>
    <t>Praktikum Werkstoff- und Bauteilprüfung</t>
  </si>
  <si>
    <t>Kraftfahrzeuge</t>
  </si>
  <si>
    <t>Grundlagen der Fahrzeugtechnik</t>
  </si>
  <si>
    <t>Spezielle Kapitel bei Fahrzeugen</t>
  </si>
  <si>
    <t>Fahreigenschaften des Kraftfahrzeugs</t>
  </si>
  <si>
    <t>Praktikum Kraftfahrzeuge</t>
  </si>
  <si>
    <t>Kunststofftechnik</t>
  </si>
  <si>
    <t>Kunststoffverarbeitungstechnik</t>
  </si>
  <si>
    <t>Kunststoff-Werkstofftechnik</t>
  </si>
  <si>
    <t>Methoden der zerstörungsfreien Prüfung</t>
  </si>
  <si>
    <t>Erfolgreich entwickeln mit Step/Gateway-Prozessen – Theorie und Praxis</t>
  </si>
  <si>
    <t>Grundlagen der zerstörungsfreien Prüfung</t>
  </si>
  <si>
    <t>Kunststoffe in der Medizintechnik</t>
  </si>
  <si>
    <t>Mehrphasenströmungen</t>
  </si>
  <si>
    <t>Rheologie und Rheometrie der Kunststoffe</t>
  </si>
  <si>
    <t>Simulation in der Kunststoffverarbeitung</t>
  </si>
  <si>
    <t>Technologiemanagement für Kunststoffprodukte</t>
  </si>
  <si>
    <t>Praktikum Kunststofftechnik</t>
  </si>
  <si>
    <t>Schienenfahrzeugtechnik</t>
  </si>
  <si>
    <t>Das System Bahn: Akteure, Prozesse, Regelwerke</t>
  </si>
  <si>
    <t>Schienenfahrzeugdynamik</t>
  </si>
  <si>
    <t>Elektrische Bahnsysteme</t>
  </si>
  <si>
    <t>Fahrdrahtunabhängige Schienenfahrzeuge</t>
  </si>
  <si>
    <t>Grundlagen der Straßen-, Stadt- und U-Bahnen</t>
  </si>
  <si>
    <t>Praktikum Schienenfahrzeug</t>
  </si>
  <si>
    <t>Grundlagen der Kraftfahrzeugdynamik</t>
  </si>
  <si>
    <t xml:space="preserve">Grundlagen der Fahrzeugaerodynamik </t>
  </si>
  <si>
    <t>Grundlagen der Fahrzeugakustik</t>
  </si>
  <si>
    <t>Kraftfahrzeugtechnik</t>
  </si>
  <si>
    <t>Ausgewählte Themen der Fahrzeugtechnik</t>
  </si>
  <si>
    <t>Mikrosystemtechnik</t>
  </si>
  <si>
    <t>Aufbau- und Verbindungstechnik - Sensor- und Systemaufbau</t>
  </si>
  <si>
    <t>Aufbau- und Verbindungstechnik für Mikrosystemtechnik - Technologien</t>
  </si>
  <si>
    <t xml:space="preserve">Fluidische Mikrosysteme </t>
  </si>
  <si>
    <t>Optische Mikrosysteme</t>
  </si>
  <si>
    <t>Übungen zur Biomedizinischen Technik</t>
  </si>
  <si>
    <t>Praktikum Mikrosytemtechnik</t>
  </si>
  <si>
    <t xml:space="preserve">Strömungsmechanik und Wasserkraft </t>
  </si>
  <si>
    <t>Modeling of Two-Phase Flows</t>
  </si>
  <si>
    <t>Numerische Strömungsmechanik mit Optimierungsanwendungen 1</t>
  </si>
  <si>
    <t>Transiente Vorgänge und Regelungsaspekte in Wasserkraftanlagen</t>
  </si>
  <si>
    <t>Numerische Strömungsmechanik mit Optimierungsanwendungen 2</t>
  </si>
  <si>
    <t>Planung von Wasserkraftanlagen</t>
  </si>
  <si>
    <t>Rotordynamik von Turbomaschinen </t>
  </si>
  <si>
    <t>Strömungsmesstechnik</t>
  </si>
  <si>
    <t>Praktikum Strömungsmechanik und Wasserkraft</t>
  </si>
  <si>
    <t xml:space="preserve">Thermische Turbomaschinen </t>
  </si>
  <si>
    <t>Thermische Strömungsmaschinen</t>
  </si>
  <si>
    <t>Numerik und Messtechnik für Turbomaschinen</t>
  </si>
  <si>
    <t>Spezielle Themen zu Thermischen Turbomaschinen</t>
  </si>
  <si>
    <t>Dampfturbinentechnologie</t>
  </si>
  <si>
    <t>Numerische Methoden in Fluid- und Strukturdynamik</t>
  </si>
  <si>
    <t>Strömungs- und Schwingungsmesstechnik für Turbomaschinen</t>
  </si>
  <si>
    <t>Turbochargers</t>
  </si>
  <si>
    <t>Praktikum Thermische Turbomaschinen</t>
  </si>
  <si>
    <t>Werkzeugmaschinen</t>
  </si>
  <si>
    <t>Grundlagen spanender Werkzeugmaschinen</t>
  </si>
  <si>
    <t>Grundlagen und Technologien der Faserverbund- und Holzwerkstoffbearbeitung </t>
  </si>
  <si>
    <t>Beurteilung des Verhaltens von Werkzeugmaschinen</t>
  </si>
  <si>
    <t>Lärmarme Maschinenkonstruktion</t>
  </si>
  <si>
    <t>Rechnergestützte Konstruktion von Werkzeugmaschinen</t>
  </si>
  <si>
    <t>Praktikum Werkzeugmaschinen</t>
  </si>
  <si>
    <t>B_SF4</t>
  </si>
  <si>
    <t>B_SF5</t>
  </si>
  <si>
    <t>B_SF6</t>
  </si>
  <si>
    <t>B_SF7</t>
  </si>
  <si>
    <t>B_SF8</t>
  </si>
  <si>
    <t>B_SF9</t>
  </si>
  <si>
    <t>B_SF10</t>
  </si>
  <si>
    <t>B_SF11</t>
  </si>
  <si>
    <t>B_SF12</t>
  </si>
  <si>
    <t>B_SF13</t>
  </si>
  <si>
    <t>B_SF14</t>
  </si>
  <si>
    <t>Spezialisierungsfächer</t>
  </si>
  <si>
    <t>Fehlermeldung, wenn mehr als 2 SF</t>
  </si>
  <si>
    <t>Spezialisierungsfach 2</t>
  </si>
  <si>
    <t>fehlermeldung</t>
  </si>
  <si>
    <t>fehlermeldung SF2</t>
  </si>
  <si>
    <t>doppelte Module</t>
  </si>
  <si>
    <t>Angaben zur Person</t>
  </si>
  <si>
    <t>Name</t>
  </si>
  <si>
    <t>Vorname</t>
  </si>
  <si>
    <t>Matr.-Nr.</t>
  </si>
  <si>
    <t>Anschrift (Straße, Hausnummer, PLZ, Ort)</t>
  </si>
  <si>
    <t>Telefon</t>
  </si>
  <si>
    <t>Modul-Nr.</t>
  </si>
  <si>
    <t>Dieser Übersichtsplan MUSS vor Anmeldung der ersten Modulabschlussprüfung beim Prüfungsamt vorgelegt werden.</t>
  </si>
  <si>
    <t>Angaben zum Masterstudium</t>
  </si>
  <si>
    <t>Änderung genehmigt</t>
  </si>
  <si>
    <t>Datum / Unterschrift Prüfungsamt</t>
  </si>
  <si>
    <t>Gruppe</t>
  </si>
  <si>
    <t>Typ</t>
  </si>
  <si>
    <t>Anrede</t>
  </si>
  <si>
    <t>E-Mail</t>
  </si>
  <si>
    <t>M.Sc.-Fachsem.</t>
  </si>
  <si>
    <t>Geburts-datum</t>
  </si>
  <si>
    <t xml:space="preserve">Übersichtsplan </t>
  </si>
  <si>
    <t>des Studiengangs M.Sc. Maschinenbau / Produktentwicklung und Konstruktionstechnik</t>
  </si>
  <si>
    <t>Wahlpflichtbereich aus B.Sc. (Kompetenzfeld I und II), Umfang je 6 LP</t>
  </si>
  <si>
    <t>Angaben zum Bacherlorstudium (nur für B.Sc. Absolventen der Uni Stuttgart)</t>
  </si>
  <si>
    <t>Elektrische Maschinen I</t>
  </si>
  <si>
    <t>Numerische Methoden der Dynamik</t>
  </si>
  <si>
    <t>Fertigungsverfahren Faser- und Schichtverbundwerkstoffe</t>
  </si>
  <si>
    <t>Grundlagen der Heiz- und Raumlufttechnik</t>
  </si>
  <si>
    <t>Grundlagen der Faser- und Textiltechnik / Textilmaschinenbau</t>
  </si>
  <si>
    <t>Fundamentals of Microelectronics</t>
  </si>
  <si>
    <t>Regelungstechnik</t>
  </si>
  <si>
    <t>Werkstofftechnik und -simulation</t>
  </si>
  <si>
    <t>Schwingungen und Modalanalyse</t>
  </si>
  <si>
    <t>Erneuerbare Energien</t>
  </si>
  <si>
    <t>Festigkeitsberechnung (FEM) in der Apparatetechnik</t>
  </si>
  <si>
    <t>Wirtschaftskybernetik I</t>
  </si>
  <si>
    <t>Produktionstechnische Informationstechnologien</t>
  </si>
  <si>
    <t>Verkehrsplanung und Verkehrstechnik</t>
  </si>
  <si>
    <t>Grundlagen der Wärmeübertragung</t>
  </si>
  <si>
    <t>Modellierung, Simulation und Optimierungsverfahren</t>
  </si>
  <si>
    <t>Maschinendynamik</t>
  </si>
  <si>
    <t>Angewandte Informatik / Applied Computer Science</t>
  </si>
  <si>
    <t>Betriebsfestigkeit in der Fahrzeugtechnik</t>
  </si>
  <si>
    <t>Entwurf und Oberflächeneigenschaften von Straßen</t>
  </si>
  <si>
    <t>Wahlpflichtbereich aus B.Sc. (Kompetenzfeld I und II), Umfang je 6 LP,
insgesamt 2 Module müssen gewählt werden</t>
  </si>
  <si>
    <t>Auswahl für Dropdown</t>
  </si>
  <si>
    <t>minimaler Wert</t>
  </si>
  <si>
    <t>maximaler Wert</t>
  </si>
  <si>
    <t>B.Sc- Module</t>
  </si>
  <si>
    <t>KoFe I</t>
  </si>
  <si>
    <t>KoFe II</t>
  </si>
  <si>
    <t>Angaben zum Masterstudium - Wahlpflichtmodule (12 ECTS)</t>
  </si>
  <si>
    <t>gewählte Module</t>
  </si>
  <si>
    <t>Angaben zum Masterstudium - Spezialisierungsfächer</t>
  </si>
  <si>
    <t xml:space="preserve">Je Gruppe darf nur ein Modul gewählt werden. </t>
  </si>
  <si>
    <t>Spezialisierungsfach 2: Anwendungen der Produktentwicklung (Wahlmöglichkeit)</t>
  </si>
  <si>
    <t>Spezialisierungsfach 1: Methoden der Produktentwicklung (Pflichtcontainer)</t>
  </si>
  <si>
    <t>Das Spezialisierungsfach 1 Methoden der Produktentwicklung ist Pflicht. Im Spezialisierungsfach 2 gibt es Wahlmöglichkeiten. In jedem Spezialisierungfach ist ein Modul aus den Containern (Kernfach (KF) mit 6 ECTS; Ergänzungsfach (EF) mit 6 ECTS, EF mit 3 ECTS, Praktikum) zu wählen,</t>
  </si>
  <si>
    <t>Liebe Studierende,</t>
  </si>
  <si>
    <t>Da dies die erste Version ist, sind Fehler möglich und wir haben auch nicht alle möglichen Fehler über Fehlermeldungen aufgrund des zu hohen Aufwands abgefangen.</t>
  </si>
  <si>
    <t>Ihr Studiengangsmanagement-Team</t>
  </si>
  <si>
    <t>Hinweise zum Ausfüllen</t>
  </si>
  <si>
    <t>Im Übersichtsplan selbst werden nur Ihre persönlichen Angaben abgefragt (Zeile 5 und 7).</t>
  </si>
  <si>
    <t>In den weiteren Sheets können Sie die Ergänzungsmodule aus dem B.Sc. (nur für B.Sc. Studierende der Uni Stuttgart aus Mabau, Tema, FMT), die Wahlpflichtmodule und</t>
  </si>
  <si>
    <t>die Spezialisierungsfächer mit Ihren Modulen auswählen.</t>
  </si>
  <si>
    <t>dieses Excel-File soll Sie bei der Erstellung des Übersichtsplans unterstützen. Dieses Dokument ist als Arbeitshilfe gedacht und ist nicht rechtlich bindend, bitte beachten sie die jeweils aktuelle Version der Studien- und Prüfungsordnung</t>
  </si>
  <si>
    <t>PR, 3 ECTS</t>
  </si>
  <si>
    <t>Wahlpflichtmodule (18 ECTS)</t>
  </si>
  <si>
    <t>Wahlpflichtbereich aus B.Sc. (Kompetenzfeld I und II), Umfang je 6 ECTS</t>
  </si>
  <si>
    <t>(Muss vor Anmeldung der ersten Modulprüfung von dem Professor*in des 1. Spezialisierungsfachs genehmigt sein!)</t>
  </si>
  <si>
    <t>(Muss vor Anmeldung der ersten Modulprüfung von dem Professor*in des 2. Spezialisierungsfachs genehmigt sein!)</t>
  </si>
  <si>
    <t>Datum / Unterschrift Professor*in</t>
  </si>
  <si>
    <t>Datum / Unterschrift Student*in</t>
  </si>
  <si>
    <t>Hochleistungsgetriebe für mobile und stationäre Anwendungen</t>
  </si>
  <si>
    <r>
      <t xml:space="preserve">Nur wenn das Modul </t>
    </r>
    <r>
      <rPr>
        <i/>
        <sz val="9"/>
        <color theme="1"/>
        <rFont val="Arial"/>
        <family val="2"/>
      </rPr>
      <t xml:space="preserve">Methodische Produktentwicklung </t>
    </r>
    <r>
      <rPr>
        <sz val="9"/>
        <color theme="1"/>
        <rFont val="Arial"/>
        <family val="2"/>
      </rPr>
      <t>bereits im B.Sc. belegt wurde kann ersatzweise das Modul 14310 oder 14240 gewählt werden. Hierzu ist die Genehmigung des Prüfungsausschusses erforderlich</t>
    </r>
  </si>
  <si>
    <t>Welche Zeile</t>
  </si>
  <si>
    <t>doppeltes Modul</t>
  </si>
  <si>
    <t>Schutz Zellen über  Ausrichtung --&gt; Schutz</t>
  </si>
  <si>
    <t>Bei beschreibbaren Zellen "Gesperrt" deaktiveren</t>
  </si>
  <si>
    <t>Sheets ein-/ausblenden: Tab "Start"--&gt; Zellen --&gt; Format--&gt; Sichtbarkeit</t>
  </si>
  <si>
    <t>Verbesserungsvorschläge können Sie gerne an Studiengangsmanagement@ima.uni-stuttgart.de senden.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</si>
</sst>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rgb="FF3F3F3F"/>
      <name val="Calibri"/>
      <family val="2"/>
      <scheme val="minor"/>
    </font>
    <font>
      <sz val="10"/>
      <color theme="1"/>
      <name val="Times New Roman"/>
      <family val="1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color rgb="FFFFFFFF"/>
      <name val="Arial"/>
      <family val="2"/>
    </font>
    <font>
      <b/>
      <sz val="5"/>
      <color rgb="FFFF0000"/>
      <name val="Arial"/>
      <family val="2"/>
    </font>
    <font>
      <b/>
      <sz val="14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9"/>
      <color theme="4"/>
      <name val="Arial"/>
      <family val="2"/>
    </font>
    <font>
      <sz val="11"/>
      <color theme="1"/>
      <name val="Arial"/>
      <family val="2"/>
    </font>
    <font>
      <sz val="11"/>
      <color rgb="FF3F3F76"/>
      <name val="Arial"/>
      <family val="2"/>
    </font>
    <font>
      <b/>
      <sz val="11"/>
      <color theme="4"/>
      <name val="Arial"/>
      <family val="2"/>
    </font>
    <font>
      <sz val="9"/>
      <color rgb="FF3F3F76"/>
      <name val="Arial"/>
      <family val="2"/>
    </font>
    <font>
      <b/>
      <sz val="11"/>
      <color theme="1"/>
      <name val="Arial"/>
      <family val="2"/>
    </font>
    <font>
      <i/>
      <sz val="9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3E444C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 style="medium">
        <color rgb="FFFFFFFF"/>
      </bottom>
      <diagonal/>
    </border>
    <border>
      <left/>
      <right/>
      <top style="medium">
        <color indexed="64"/>
      </top>
      <bottom style="medium">
        <color rgb="FFFFFFFF"/>
      </bottom>
      <diagonal/>
    </border>
    <border>
      <left/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rgb="FFFFFFFF"/>
      </right>
      <top/>
      <bottom style="medium">
        <color indexed="64"/>
      </bottom>
      <diagonal/>
    </border>
    <border>
      <left/>
      <right style="medium">
        <color rgb="FFFFFFFF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indexed="64"/>
      </bottom>
      <diagonal/>
    </border>
    <border>
      <left/>
      <right style="medium">
        <color rgb="FFFFFFFF"/>
      </right>
      <top style="medium">
        <color rgb="FFFFFFFF"/>
      </top>
      <bottom style="medium">
        <color indexed="64"/>
      </bottom>
      <diagonal/>
    </border>
    <border>
      <left/>
      <right style="medium">
        <color rgb="FFFFFFFF"/>
      </right>
      <top style="medium">
        <color indexed="64"/>
      </top>
      <bottom style="medium">
        <color rgb="FFFFFFFF"/>
      </bottom>
      <diagonal/>
    </border>
    <border>
      <left style="medium">
        <color rgb="FFFFFFFF"/>
      </left>
      <right/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 style="medium">
        <color rgb="FFFFFFFF"/>
      </top>
      <bottom style="medium">
        <color indexed="64"/>
      </bottom>
      <diagonal/>
    </border>
    <border>
      <left/>
      <right/>
      <top style="medium">
        <color rgb="FFFFFFFF"/>
      </top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 style="medium">
        <color indexed="64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/>
      <bottom/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rgb="FFFFFFFF"/>
      </top>
      <bottom/>
      <diagonal/>
    </border>
    <border>
      <left/>
      <right style="medium">
        <color indexed="64"/>
      </right>
      <top style="medium">
        <color rgb="FFFFFFFF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rgb="FFFFFFFF"/>
      </right>
      <top style="thin">
        <color indexed="64"/>
      </top>
      <bottom style="medium">
        <color indexed="64"/>
      </bottom>
      <diagonal/>
    </border>
    <border>
      <left style="medium">
        <color rgb="FFFFFFFF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rgb="FFFFFFFF"/>
      </right>
      <top style="thin">
        <color indexed="64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thin">
        <color indexed="64"/>
      </top>
      <bottom style="medium">
        <color rgb="FFFFFFFF"/>
      </bottom>
      <diagonal/>
    </border>
    <border>
      <left style="medium">
        <color rgb="FFFFFFFF"/>
      </left>
      <right style="medium">
        <color indexed="64"/>
      </right>
      <top style="thin">
        <color indexed="64"/>
      </top>
      <bottom style="medium">
        <color rgb="FFFFFFFF"/>
      </bottom>
      <diagonal/>
    </border>
    <border>
      <left/>
      <right style="medium">
        <color rgb="FFFFFFFF"/>
      </right>
      <top/>
      <bottom style="thin">
        <color indexed="64"/>
      </bottom>
      <diagonal/>
    </border>
    <border>
      <left style="medium">
        <color rgb="FFFFFFFF"/>
      </left>
      <right/>
      <top style="medium">
        <color rgb="FFFFFFFF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thin">
        <color theme="1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thin">
        <color theme="1"/>
      </bottom>
      <diagonal/>
    </border>
    <border>
      <left style="medium">
        <color theme="0"/>
      </left>
      <right style="medium">
        <color theme="0"/>
      </right>
      <top style="thin">
        <color theme="1"/>
      </top>
      <bottom style="thin">
        <color theme="1"/>
      </bottom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thin">
        <color theme="1"/>
      </bottom>
      <diagonal/>
    </border>
    <border>
      <left style="medium">
        <color theme="0"/>
      </left>
      <right style="medium">
        <color theme="0"/>
      </right>
      <top style="thin">
        <color theme="1"/>
      </top>
      <bottom/>
      <diagonal/>
    </border>
    <border>
      <left/>
      <right/>
      <top/>
      <bottom style="medium">
        <color theme="0"/>
      </bottom>
      <diagonal/>
    </border>
    <border>
      <left style="medium">
        <color rgb="FFFFFFFF"/>
      </left>
      <right/>
      <top/>
      <bottom style="medium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rgb="FF7F7F7F"/>
      </right>
      <top/>
      <bottom/>
      <diagonal/>
    </border>
  </borders>
  <cellStyleXfs count="6">
    <xf numFmtId="0" fontId="0" fillId="0" borderId="0"/>
    <xf numFmtId="0" fontId="1" fillId="0" borderId="1" applyNumberFormat="0" applyFill="0" applyAlignment="0" applyProtection="0"/>
    <xf numFmtId="0" fontId="4" fillId="2" borderId="2" applyNumberFormat="0" applyAlignment="0" applyProtection="0"/>
    <xf numFmtId="0" fontId="5" fillId="3" borderId="2" applyNumberFormat="0" applyAlignment="0" applyProtection="0"/>
    <xf numFmtId="0" fontId="8" fillId="3" borderId="3" applyNumberFormat="0" applyAlignment="0" applyProtection="0"/>
    <xf numFmtId="0" fontId="15" fillId="8" borderId="0" applyNumberFormat="0" applyBorder="0" applyAlignment="0" applyProtection="0"/>
  </cellStyleXfs>
  <cellXfs count="217">
    <xf numFmtId="0" fontId="0" fillId="0" borderId="0" xfId="0"/>
    <xf numFmtId="0" fontId="3" fillId="0" borderId="0" xfId="0" applyFont="1"/>
    <xf numFmtId="0" fontId="6" fillId="0" borderId="0" xfId="0" applyFont="1"/>
    <xf numFmtId="0" fontId="5" fillId="3" borderId="2" xfId="3"/>
    <xf numFmtId="0" fontId="2" fillId="0" borderId="0" xfId="0" applyFont="1"/>
    <xf numFmtId="0" fontId="10" fillId="6" borderId="10" xfId="0" applyFont="1" applyFill="1" applyBorder="1" applyAlignment="1">
      <alignment horizontal="center" vertical="center" wrapText="1"/>
    </xf>
    <xf numFmtId="0" fontId="10" fillId="6" borderId="12" xfId="0" applyFont="1" applyFill="1" applyBorder="1" applyAlignment="1">
      <alignment horizontal="left" vertical="center" wrapText="1"/>
    </xf>
    <xf numFmtId="0" fontId="10" fillId="6" borderId="11" xfId="0" applyFont="1" applyFill="1" applyBorder="1" applyAlignment="1">
      <alignment horizontal="left" vertical="center" wrapText="1"/>
    </xf>
    <xf numFmtId="0" fontId="10" fillId="6" borderId="14" xfId="0" applyFont="1" applyFill="1" applyBorder="1" applyAlignment="1">
      <alignment horizontal="left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5" xfId="0" applyFont="1" applyFill="1" applyBorder="1" applyAlignment="1">
      <alignment horizontal="left" vertical="center" wrapText="1"/>
    </xf>
    <xf numFmtId="0" fontId="11" fillId="6" borderId="34" xfId="0" applyFont="1" applyFill="1" applyBorder="1" applyAlignment="1">
      <alignment horizontal="left" vertical="center" wrapText="1"/>
    </xf>
    <xf numFmtId="0" fontId="11" fillId="6" borderId="22" xfId="0" applyFont="1" applyFill="1" applyBorder="1" applyAlignment="1">
      <alignment horizontal="left" vertical="center" wrapText="1"/>
    </xf>
    <xf numFmtId="0" fontId="8" fillId="3" borderId="3" xfId="4"/>
    <xf numFmtId="0" fontId="9" fillId="0" borderId="35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46" xfId="0" applyFont="1" applyBorder="1" applyAlignment="1">
      <alignment vertical="center" wrapText="1"/>
    </xf>
    <xf numFmtId="0" fontId="13" fillId="0" borderId="35" xfId="0" applyFont="1" applyBorder="1" applyAlignment="1">
      <alignment vertical="center"/>
    </xf>
    <xf numFmtId="0" fontId="0" fillId="0" borderId="0" xfId="0" applyBorder="1"/>
    <xf numFmtId="0" fontId="0" fillId="0" borderId="46" xfId="0" applyBorder="1"/>
    <xf numFmtId="0" fontId="10" fillId="6" borderId="17" xfId="0" applyFont="1" applyFill="1" applyBorder="1" applyAlignment="1">
      <alignment horizontal="left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26" xfId="0" applyFont="1" applyFill="1" applyBorder="1" applyAlignment="1">
      <alignment vertical="top" wrapText="1"/>
    </xf>
    <xf numFmtId="0" fontId="10" fillId="6" borderId="17" xfId="0" applyFont="1" applyFill="1" applyBorder="1" applyAlignment="1">
      <alignment vertical="top" wrapText="1"/>
    </xf>
    <xf numFmtId="0" fontId="10" fillId="6" borderId="17" xfId="0" applyNumberFormat="1" applyFont="1" applyFill="1" applyBorder="1" applyAlignment="1">
      <alignment vertical="top" wrapText="1"/>
    </xf>
    <xf numFmtId="0" fontId="11" fillId="6" borderId="22" xfId="0" applyFont="1" applyFill="1" applyBorder="1" applyAlignment="1">
      <alignment vertical="center" wrapText="1"/>
    </xf>
    <xf numFmtId="0" fontId="0" fillId="8" borderId="0" xfId="5" applyFont="1" applyAlignment="1">
      <alignment horizontal="center"/>
    </xf>
    <xf numFmtId="0" fontId="15" fillId="8" borderId="0" xfId="5" applyAlignment="1">
      <alignment horizontal="center"/>
    </xf>
    <xf numFmtId="0" fontId="16" fillId="0" borderId="0" xfId="0" applyFont="1"/>
    <xf numFmtId="0" fontId="17" fillId="0" borderId="0" xfId="0" applyFont="1"/>
    <xf numFmtId="0" fontId="11" fillId="0" borderId="40" xfId="0" applyFont="1" applyFill="1" applyBorder="1" applyAlignment="1">
      <alignment vertical="center" wrapText="1"/>
    </xf>
    <xf numFmtId="0" fontId="0" fillId="0" borderId="0" xfId="0" applyFill="1"/>
    <xf numFmtId="0" fontId="19" fillId="0" borderId="0" xfId="0" applyFont="1" applyAlignment="1">
      <alignment horizontal="center"/>
    </xf>
    <xf numFmtId="0" fontId="19" fillId="0" borderId="0" xfId="0" applyFont="1"/>
    <xf numFmtId="0" fontId="20" fillId="2" borderId="2" xfId="2" applyFont="1"/>
    <xf numFmtId="0" fontId="19" fillId="0" borderId="0" xfId="0" applyFont="1" applyAlignment="1">
      <alignment horizontal="center" vertical="center"/>
    </xf>
    <xf numFmtId="0" fontId="21" fillId="3" borderId="2" xfId="3" applyFont="1"/>
    <xf numFmtId="0" fontId="10" fillId="0" borderId="0" xfId="0" applyFont="1" applyAlignment="1">
      <alignment horizontal="center"/>
    </xf>
    <xf numFmtId="0" fontId="10" fillId="0" borderId="0" xfId="0" applyFont="1"/>
    <xf numFmtId="0" fontId="19" fillId="0" borderId="0" xfId="0" applyFont="1" applyFill="1"/>
    <xf numFmtId="0" fontId="22" fillId="2" borderId="2" xfId="2" applyFont="1"/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6" borderId="17" xfId="0" applyFont="1" applyFill="1" applyBorder="1" applyAlignment="1">
      <alignment horizontal="left" vertical="top" wrapText="1"/>
    </xf>
    <xf numFmtId="0" fontId="11" fillId="6" borderId="34" xfId="0" applyFont="1" applyFill="1" applyBorder="1" applyAlignment="1">
      <alignment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1" fillId="6" borderId="34" xfId="0" applyFont="1" applyFill="1" applyBorder="1" applyAlignment="1">
      <alignment horizontal="center" vertical="center" wrapText="1"/>
    </xf>
    <xf numFmtId="0" fontId="11" fillId="6" borderId="33" xfId="0" applyFont="1" applyFill="1" applyBorder="1" applyAlignment="1">
      <alignment horizontal="center" vertical="center" wrapText="1"/>
    </xf>
    <xf numFmtId="0" fontId="11" fillId="6" borderId="33" xfId="0" applyFont="1" applyFill="1" applyBorder="1" applyAlignment="1">
      <alignment vertical="center" wrapText="1"/>
    </xf>
    <xf numFmtId="0" fontId="10" fillId="4" borderId="52" xfId="0" applyFont="1" applyFill="1" applyBorder="1" applyAlignment="1">
      <alignment horizontal="center" vertical="center"/>
    </xf>
    <xf numFmtId="0" fontId="10" fillId="4" borderId="52" xfId="0" applyFont="1" applyFill="1" applyBorder="1"/>
    <xf numFmtId="0" fontId="10" fillId="4" borderId="52" xfId="0" applyFont="1" applyFill="1" applyBorder="1" applyAlignment="1">
      <alignment vertical="center"/>
    </xf>
    <xf numFmtId="0" fontId="10" fillId="4" borderId="53" xfId="0" applyFont="1" applyFill="1" applyBorder="1" applyAlignment="1">
      <alignment horizontal="center" vertical="center"/>
    </xf>
    <xf numFmtId="0" fontId="10" fillId="4" borderId="53" xfId="0" applyFont="1" applyFill="1" applyBorder="1"/>
    <xf numFmtId="0" fontId="10" fillId="4" borderId="54" xfId="0" applyFont="1" applyFill="1" applyBorder="1" applyAlignment="1">
      <alignment horizontal="center" vertical="center"/>
    </xf>
    <xf numFmtId="0" fontId="10" fillId="4" borderId="54" xfId="0" applyFont="1" applyFill="1" applyBorder="1"/>
    <xf numFmtId="0" fontId="10" fillId="4" borderId="56" xfId="0" applyFont="1" applyFill="1" applyBorder="1" applyAlignment="1">
      <alignment horizontal="center" vertical="center"/>
    </xf>
    <xf numFmtId="0" fontId="10" fillId="4" borderId="56" xfId="0" applyFont="1" applyFill="1" applyBorder="1"/>
    <xf numFmtId="0" fontId="10" fillId="4" borderId="53" xfId="0" applyFont="1" applyFill="1" applyBorder="1" applyAlignment="1">
      <alignment vertical="top" wrapText="1"/>
    </xf>
    <xf numFmtId="0" fontId="10" fillId="4" borderId="56" xfId="0" applyFont="1" applyFill="1" applyBorder="1" applyAlignment="1">
      <alignment vertical="center"/>
    </xf>
    <xf numFmtId="0" fontId="10" fillId="4" borderId="55" xfId="0" applyFont="1" applyFill="1" applyBorder="1" applyAlignment="1">
      <alignment vertical="center"/>
    </xf>
    <xf numFmtId="0" fontId="10" fillId="4" borderId="55" xfId="0" applyFont="1" applyFill="1" applyBorder="1" applyAlignment="1">
      <alignment horizontal="center" vertical="center"/>
    </xf>
    <xf numFmtId="0" fontId="10" fillId="4" borderId="60" xfId="0" applyFont="1" applyFill="1" applyBorder="1" applyAlignment="1">
      <alignment horizontal="center" vertical="center"/>
    </xf>
    <xf numFmtId="0" fontId="10" fillId="4" borderId="60" xfId="0" applyFont="1" applyFill="1" applyBorder="1"/>
    <xf numFmtId="0" fontId="10" fillId="4" borderId="53" xfId="0" applyFont="1" applyFill="1" applyBorder="1" applyAlignment="1">
      <alignment vertical="center"/>
    </xf>
    <xf numFmtId="0" fontId="10" fillId="4" borderId="60" xfId="0" applyFont="1" applyFill="1" applyBorder="1" applyAlignment="1">
      <alignment vertical="center"/>
    </xf>
    <xf numFmtId="0" fontId="10" fillId="4" borderId="57" xfId="0" applyFont="1" applyFill="1" applyBorder="1" applyAlignment="1">
      <alignment horizontal="center" vertical="center"/>
    </xf>
    <xf numFmtId="0" fontId="10" fillId="4" borderId="57" xfId="0" applyFont="1" applyFill="1" applyBorder="1" applyAlignment="1">
      <alignment vertical="center"/>
    </xf>
    <xf numFmtId="0" fontId="10" fillId="4" borderId="54" xfId="0" applyFont="1" applyFill="1" applyBorder="1" applyAlignment="1">
      <alignment vertical="center"/>
    </xf>
    <xf numFmtId="0" fontId="11" fillId="6" borderId="0" xfId="0" applyFont="1" applyFill="1" applyBorder="1" applyAlignment="1">
      <alignment horizontal="center" vertical="center" wrapText="1"/>
    </xf>
    <xf numFmtId="0" fontId="11" fillId="4" borderId="53" xfId="0" applyFont="1" applyFill="1" applyBorder="1" applyAlignment="1">
      <alignment horizontal="center" vertical="center" wrapText="1"/>
    </xf>
    <xf numFmtId="0" fontId="11" fillId="4" borderId="56" xfId="0" applyFont="1" applyFill="1" applyBorder="1" applyAlignment="1">
      <alignment horizontal="center" vertical="center"/>
    </xf>
    <xf numFmtId="0" fontId="11" fillId="4" borderId="60" xfId="0" applyFont="1" applyFill="1" applyBorder="1" applyAlignment="1">
      <alignment horizontal="center" vertical="center"/>
    </xf>
    <xf numFmtId="0" fontId="11" fillId="4" borderId="53" xfId="0" applyFont="1" applyFill="1" applyBorder="1" applyAlignment="1">
      <alignment horizontal="center" vertical="center"/>
    </xf>
    <xf numFmtId="0" fontId="11" fillId="4" borderId="57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1" fillId="6" borderId="62" xfId="0" applyFont="1" applyFill="1" applyBorder="1" applyAlignment="1">
      <alignment horizontal="center" vertical="center" wrapText="1"/>
    </xf>
    <xf numFmtId="0" fontId="11" fillId="6" borderId="63" xfId="0" applyFont="1" applyFill="1" applyBorder="1" applyAlignment="1">
      <alignment horizontal="center" vertical="center" wrapText="1"/>
    </xf>
    <xf numFmtId="0" fontId="11" fillId="6" borderId="63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10" fillId="6" borderId="7" xfId="0" applyFont="1" applyFill="1" applyBorder="1" applyAlignment="1" applyProtection="1">
      <alignment horizontal="center" vertical="center" wrapText="1"/>
      <protection locked="0"/>
    </xf>
    <xf numFmtId="0" fontId="10" fillId="6" borderId="8" xfId="0" applyFont="1" applyFill="1" applyBorder="1" applyAlignment="1" applyProtection="1">
      <alignment horizontal="center" vertical="center" wrapText="1"/>
      <protection locked="0"/>
    </xf>
    <xf numFmtId="0" fontId="10" fillId="6" borderId="10" xfId="0" applyFont="1" applyFill="1" applyBorder="1" applyAlignment="1" applyProtection="1">
      <alignment horizontal="center" vertical="center" wrapText="1"/>
      <protection locked="0"/>
    </xf>
    <xf numFmtId="0" fontId="10" fillId="6" borderId="26" xfId="0" applyFont="1" applyFill="1" applyBorder="1" applyAlignment="1" applyProtection="1">
      <alignment horizontal="center" vertical="top" wrapText="1"/>
      <protection locked="0"/>
    </xf>
    <xf numFmtId="0" fontId="10" fillId="6" borderId="17" xfId="0" applyFont="1" applyFill="1" applyBorder="1" applyAlignment="1" applyProtection="1">
      <alignment horizontal="center" vertical="top" wrapText="1"/>
      <protection locked="0"/>
    </xf>
    <xf numFmtId="0" fontId="10" fillId="6" borderId="51" xfId="0" applyFont="1" applyFill="1" applyBorder="1" applyAlignment="1" applyProtection="1">
      <alignment horizontal="center" vertical="top" wrapText="1"/>
      <protection locked="0"/>
    </xf>
    <xf numFmtId="0" fontId="10" fillId="6" borderId="34" xfId="0" applyFont="1" applyFill="1" applyBorder="1" applyAlignment="1" applyProtection="1">
      <alignment horizontal="center" vertical="top" wrapText="1"/>
      <protection locked="0"/>
    </xf>
    <xf numFmtId="0" fontId="10" fillId="6" borderId="52" xfId="0" applyFont="1" applyFill="1" applyBorder="1" applyAlignment="1" applyProtection="1">
      <alignment horizontal="center" vertical="top" wrapText="1"/>
      <protection locked="0"/>
    </xf>
    <xf numFmtId="0" fontId="10" fillId="6" borderId="56" xfId="0" applyFont="1" applyFill="1" applyBorder="1" applyAlignment="1" applyProtection="1">
      <alignment horizontal="center" vertical="top" wrapText="1"/>
      <protection locked="0"/>
    </xf>
    <xf numFmtId="0" fontId="10" fillId="4" borderId="54" xfId="0" applyFont="1" applyFill="1" applyBorder="1" applyAlignment="1" applyProtection="1">
      <alignment horizontal="center"/>
      <protection locked="0"/>
    </xf>
    <xf numFmtId="0" fontId="10" fillId="4" borderId="52" xfId="0" applyFont="1" applyFill="1" applyBorder="1" applyAlignment="1" applyProtection="1">
      <alignment horizontal="center"/>
      <protection locked="0"/>
    </xf>
    <xf numFmtId="0" fontId="10" fillId="4" borderId="56" xfId="0" applyFont="1" applyFill="1" applyBorder="1" applyAlignment="1" applyProtection="1">
      <alignment horizontal="center"/>
      <protection locked="0"/>
    </xf>
    <xf numFmtId="0" fontId="10" fillId="4" borderId="54" xfId="0" applyFont="1" applyFill="1" applyBorder="1" applyAlignment="1" applyProtection="1">
      <alignment horizontal="center" vertical="center"/>
      <protection locked="0"/>
    </xf>
    <xf numFmtId="0" fontId="10" fillId="4" borderId="52" xfId="0" applyFont="1" applyFill="1" applyBorder="1" applyAlignment="1" applyProtection="1">
      <alignment horizontal="center" vertical="center"/>
      <protection locked="0"/>
    </xf>
    <xf numFmtId="0" fontId="10" fillId="4" borderId="56" xfId="0" applyFont="1" applyFill="1" applyBorder="1" applyAlignment="1" applyProtection="1">
      <alignment horizontal="center" vertical="center"/>
      <protection locked="0"/>
    </xf>
    <xf numFmtId="0" fontId="10" fillId="4" borderId="53" xfId="0" applyFont="1" applyFill="1" applyBorder="1" applyAlignment="1" applyProtection="1">
      <alignment horizontal="center" vertical="top" wrapText="1"/>
      <protection locked="0"/>
    </xf>
    <xf numFmtId="0" fontId="10" fillId="4" borderId="53" xfId="0" applyFont="1" applyFill="1" applyBorder="1" applyAlignment="1" applyProtection="1">
      <alignment horizontal="center" vertical="center"/>
      <protection locked="0"/>
    </xf>
    <xf numFmtId="0" fontId="10" fillId="4" borderId="57" xfId="0" applyFont="1" applyFill="1" applyBorder="1" applyAlignment="1" applyProtection="1">
      <alignment horizontal="center" vertical="center"/>
      <protection locked="0"/>
    </xf>
    <xf numFmtId="0" fontId="10" fillId="4" borderId="53" xfId="0" applyFont="1" applyFill="1" applyBorder="1" applyAlignment="1" applyProtection="1">
      <alignment horizontal="center"/>
      <protection locked="0"/>
    </xf>
    <xf numFmtId="0" fontId="10" fillId="4" borderId="55" xfId="0" applyFont="1" applyFill="1" applyBorder="1" applyAlignment="1" applyProtection="1">
      <alignment horizontal="center" vertical="center"/>
      <protection locked="0"/>
    </xf>
    <xf numFmtId="0" fontId="10" fillId="4" borderId="60" xfId="0" applyFont="1" applyFill="1" applyBorder="1" applyAlignment="1" applyProtection="1">
      <alignment horizontal="center" vertical="center"/>
      <protection locked="0"/>
    </xf>
    <xf numFmtId="0" fontId="10" fillId="6" borderId="17" xfId="0" applyFont="1" applyFill="1" applyBorder="1" applyAlignment="1">
      <alignment horizontal="left" vertical="top" wrapText="1"/>
    </xf>
    <xf numFmtId="0" fontId="0" fillId="0" borderId="0" xfId="0" applyAlignment="1">
      <alignment wrapText="1"/>
    </xf>
    <xf numFmtId="0" fontId="10" fillId="6" borderId="17" xfId="0" applyFont="1" applyFill="1" applyBorder="1" applyAlignment="1">
      <alignment horizontal="center" vertical="top" wrapText="1"/>
    </xf>
    <xf numFmtId="0" fontId="10" fillId="4" borderId="53" xfId="0" applyFont="1" applyFill="1" applyBorder="1" applyAlignment="1">
      <alignment horizontal="center" vertical="top" wrapText="1"/>
    </xf>
    <xf numFmtId="0" fontId="10" fillId="6" borderId="52" xfId="0" applyFont="1" applyFill="1" applyBorder="1" applyAlignment="1">
      <alignment horizontal="center" vertical="top" wrapText="1"/>
    </xf>
    <xf numFmtId="0" fontId="10" fillId="6" borderId="56" xfId="0" applyFont="1" applyFill="1" applyBorder="1" applyAlignment="1">
      <alignment horizontal="center" vertical="top" wrapText="1"/>
    </xf>
    <xf numFmtId="0" fontId="10" fillId="6" borderId="51" xfId="0" applyFont="1" applyFill="1" applyBorder="1" applyAlignment="1">
      <alignment horizontal="center" vertical="top" wrapText="1"/>
    </xf>
    <xf numFmtId="0" fontId="10" fillId="6" borderId="34" xfId="0" applyFont="1" applyFill="1" applyBorder="1" applyAlignment="1">
      <alignment horizontal="center" vertical="top" wrapText="1"/>
    </xf>
    <xf numFmtId="0" fontId="10" fillId="6" borderId="51" xfId="0" applyFont="1" applyFill="1" applyBorder="1" applyAlignment="1">
      <alignment horizontal="left" vertical="top" wrapText="1"/>
    </xf>
    <xf numFmtId="0" fontId="10" fillId="6" borderId="34" xfId="0" applyFont="1" applyFill="1" applyBorder="1" applyAlignment="1">
      <alignment horizontal="left" vertical="top" wrapText="1"/>
    </xf>
    <xf numFmtId="0" fontId="10" fillId="6" borderId="52" xfId="0" applyFont="1" applyFill="1" applyBorder="1" applyAlignment="1">
      <alignment horizontal="left" vertical="top" wrapText="1"/>
    </xf>
    <xf numFmtId="0" fontId="10" fillId="6" borderId="56" xfId="0" applyFont="1" applyFill="1" applyBorder="1" applyAlignment="1">
      <alignment horizontal="left" vertical="top" wrapText="1"/>
    </xf>
    <xf numFmtId="0" fontId="10" fillId="4" borderId="54" xfId="0" applyFont="1" applyFill="1" applyBorder="1" applyAlignment="1">
      <alignment horizontal="left" vertical="center"/>
    </xf>
    <xf numFmtId="0" fontId="10" fillId="4" borderId="52" xfId="0" applyFont="1" applyFill="1" applyBorder="1" applyAlignment="1">
      <alignment horizontal="left" vertical="center"/>
    </xf>
    <xf numFmtId="0" fontId="10" fillId="4" borderId="56" xfId="0" applyFont="1" applyFill="1" applyBorder="1" applyAlignment="1">
      <alignment horizontal="left" vertical="center"/>
    </xf>
    <xf numFmtId="0" fontId="10" fillId="4" borderId="53" xfId="0" applyFont="1" applyFill="1" applyBorder="1" applyAlignment="1">
      <alignment horizontal="left" vertical="top" wrapText="1"/>
    </xf>
    <xf numFmtId="0" fontId="5" fillId="3" borderId="65" xfId="3" applyBorder="1"/>
    <xf numFmtId="0" fontId="10" fillId="6" borderId="26" xfId="0" applyFont="1" applyFill="1" applyBorder="1" applyAlignment="1">
      <alignment horizontal="center" vertical="top" wrapText="1"/>
    </xf>
    <xf numFmtId="0" fontId="10" fillId="6" borderId="19" xfId="0" applyFont="1" applyFill="1" applyBorder="1" applyAlignment="1">
      <alignment horizontal="left" vertical="center" wrapText="1"/>
    </xf>
    <xf numFmtId="0" fontId="11" fillId="6" borderId="22" xfId="0" applyFont="1" applyFill="1" applyBorder="1" applyAlignment="1" applyProtection="1">
      <alignment vertical="center" wrapText="1"/>
    </xf>
    <xf numFmtId="0" fontId="11" fillId="6" borderId="5" xfId="0" applyFont="1" applyFill="1" applyBorder="1" applyAlignment="1" applyProtection="1">
      <alignment vertical="center" wrapText="1"/>
    </xf>
    <xf numFmtId="0" fontId="10" fillId="6" borderId="17" xfId="0" applyNumberFormat="1" applyFont="1" applyFill="1" applyBorder="1" applyAlignment="1" applyProtection="1">
      <alignment vertical="top" wrapText="1"/>
    </xf>
    <xf numFmtId="0" fontId="10" fillId="6" borderId="17" xfId="0" applyFont="1" applyFill="1" applyBorder="1" applyAlignment="1" applyProtection="1">
      <alignment vertical="top" wrapText="1"/>
    </xf>
    <xf numFmtId="0" fontId="14" fillId="0" borderId="0" xfId="0" applyFont="1" applyAlignment="1">
      <alignment horizontal="center"/>
    </xf>
    <xf numFmtId="0" fontId="10" fillId="6" borderId="30" xfId="0" applyFont="1" applyFill="1" applyBorder="1" applyAlignment="1">
      <alignment horizontal="center" vertical="center" wrapText="1"/>
    </xf>
    <xf numFmtId="0" fontId="10" fillId="6" borderId="31" xfId="0" applyFont="1" applyFill="1" applyBorder="1" applyAlignment="1">
      <alignment horizontal="center" vertical="center" wrapText="1"/>
    </xf>
    <xf numFmtId="0" fontId="10" fillId="6" borderId="37" xfId="0" applyFont="1" applyFill="1" applyBorder="1" applyAlignment="1">
      <alignment horizontal="center" vertical="center" wrapText="1"/>
    </xf>
    <xf numFmtId="0" fontId="10" fillId="6" borderId="33" xfId="0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10" fillId="6" borderId="46" xfId="0" applyFont="1" applyFill="1" applyBorder="1" applyAlignment="1">
      <alignment horizontal="center" vertical="center" wrapText="1"/>
    </xf>
    <xf numFmtId="0" fontId="10" fillId="6" borderId="32" xfId="0" applyFont="1" applyFill="1" applyBorder="1" applyAlignment="1">
      <alignment horizontal="center" vertical="center" wrapText="1"/>
    </xf>
    <xf numFmtId="0" fontId="10" fillId="6" borderId="29" xfId="0" applyFont="1" applyFill="1" applyBorder="1" applyAlignment="1">
      <alignment horizontal="center" vertical="center" wrapText="1"/>
    </xf>
    <xf numFmtId="0" fontId="10" fillId="6" borderId="36" xfId="0" applyFont="1" applyFill="1" applyBorder="1" applyAlignment="1">
      <alignment horizontal="center" vertical="center" wrapText="1"/>
    </xf>
    <xf numFmtId="0" fontId="10" fillId="6" borderId="35" xfId="0" applyFont="1" applyFill="1" applyBorder="1" applyAlignment="1">
      <alignment horizontal="center" vertical="center" wrapText="1"/>
    </xf>
    <xf numFmtId="0" fontId="10" fillId="6" borderId="17" xfId="0" applyFont="1" applyFill="1" applyBorder="1" applyAlignment="1">
      <alignment horizontal="left" vertical="top" wrapText="1"/>
    </xf>
    <xf numFmtId="0" fontId="10" fillId="6" borderId="27" xfId="0" applyFont="1" applyFill="1" applyBorder="1" applyAlignment="1">
      <alignment horizontal="left" vertical="top" wrapText="1"/>
    </xf>
    <xf numFmtId="0" fontId="10" fillId="6" borderId="28" xfId="0" applyFont="1" applyFill="1" applyBorder="1" applyAlignment="1">
      <alignment horizontal="left" vertical="top" wrapText="1"/>
    </xf>
    <xf numFmtId="0" fontId="0" fillId="0" borderId="13" xfId="0" applyBorder="1" applyAlignment="1">
      <alignment horizontal="center"/>
    </xf>
    <xf numFmtId="0" fontId="7" fillId="0" borderId="0" xfId="0" applyFont="1" applyAlignment="1">
      <alignment horizontal="center"/>
    </xf>
    <xf numFmtId="0" fontId="10" fillId="6" borderId="23" xfId="0" applyFont="1" applyFill="1" applyBorder="1" applyAlignment="1">
      <alignment horizontal="left" vertical="center" wrapText="1"/>
    </xf>
    <xf numFmtId="0" fontId="10" fillId="6" borderId="24" xfId="0" applyFont="1" applyFill="1" applyBorder="1" applyAlignment="1">
      <alignment horizontal="left" vertical="center" wrapText="1"/>
    </xf>
    <xf numFmtId="0" fontId="10" fillId="6" borderId="20" xfId="0" applyFont="1" applyFill="1" applyBorder="1" applyAlignment="1">
      <alignment horizontal="left" vertical="center" wrapText="1"/>
    </xf>
    <xf numFmtId="0" fontId="10" fillId="6" borderId="4" xfId="0" applyFont="1" applyFill="1" applyBorder="1" applyAlignment="1" applyProtection="1">
      <alignment horizontal="center" vertical="center" wrapText="1"/>
      <protection locked="0"/>
    </xf>
    <xf numFmtId="0" fontId="10" fillId="6" borderId="5" xfId="0" applyFont="1" applyFill="1" applyBorder="1" applyAlignment="1" applyProtection="1">
      <alignment horizontal="center" vertical="center" wrapText="1"/>
      <protection locked="0"/>
    </xf>
    <xf numFmtId="0" fontId="10" fillId="6" borderId="21" xfId="0" applyFont="1" applyFill="1" applyBorder="1" applyAlignment="1" applyProtection="1">
      <alignment horizontal="center" vertical="center" wrapText="1"/>
      <protection locked="0"/>
    </xf>
    <xf numFmtId="0" fontId="10" fillId="6" borderId="27" xfId="0" applyFont="1" applyFill="1" applyBorder="1" applyAlignment="1" applyProtection="1">
      <alignment horizontal="center" vertical="center" wrapText="1"/>
      <protection locked="0"/>
    </xf>
    <xf numFmtId="0" fontId="10" fillId="6" borderId="18" xfId="0" applyFont="1" applyFill="1" applyBorder="1" applyAlignment="1" applyProtection="1">
      <alignment horizontal="center" vertical="center" wrapText="1"/>
      <protection locked="0"/>
    </xf>
    <xf numFmtId="0" fontId="10" fillId="6" borderId="15" xfId="0" applyFont="1" applyFill="1" applyBorder="1" applyAlignment="1">
      <alignment vertical="center" wrapText="1"/>
    </xf>
    <xf numFmtId="0" fontId="10" fillId="6" borderId="9" xfId="0" applyFont="1" applyFill="1" applyBorder="1" applyAlignment="1">
      <alignment vertical="center" wrapText="1"/>
    </xf>
    <xf numFmtId="0" fontId="10" fillId="6" borderId="10" xfId="0" applyFont="1" applyFill="1" applyBorder="1" applyAlignment="1">
      <alignment vertical="center" wrapText="1"/>
    </xf>
    <xf numFmtId="0" fontId="10" fillId="6" borderId="41" xfId="0" applyFont="1" applyFill="1" applyBorder="1" applyAlignment="1">
      <alignment horizontal="center" vertical="center" wrapText="1"/>
    </xf>
    <xf numFmtId="0" fontId="10" fillId="6" borderId="42" xfId="0" applyFont="1" applyFill="1" applyBorder="1" applyAlignment="1">
      <alignment horizontal="center" vertical="center" wrapText="1"/>
    </xf>
    <xf numFmtId="0" fontId="10" fillId="6" borderId="43" xfId="0" applyFont="1" applyFill="1" applyBorder="1" applyAlignment="1">
      <alignment horizontal="center" vertical="center" wrapText="1"/>
    </xf>
    <xf numFmtId="0" fontId="10" fillId="6" borderId="44" xfId="0" applyFont="1" applyFill="1" applyBorder="1" applyAlignment="1">
      <alignment horizontal="center" vertical="center" wrapText="1"/>
    </xf>
    <xf numFmtId="0" fontId="10" fillId="6" borderId="45" xfId="0" applyFont="1" applyFill="1" applyBorder="1" applyAlignment="1">
      <alignment horizontal="center" vertical="center" wrapText="1"/>
    </xf>
    <xf numFmtId="0" fontId="11" fillId="6" borderId="17" xfId="0" applyFont="1" applyFill="1" applyBorder="1" applyAlignment="1">
      <alignment horizontal="left" vertical="center" wrapText="1"/>
    </xf>
    <xf numFmtId="0" fontId="11" fillId="6" borderId="27" xfId="0" applyFont="1" applyFill="1" applyBorder="1" applyAlignment="1">
      <alignment horizontal="left" vertical="center" wrapText="1"/>
    </xf>
    <xf numFmtId="0" fontId="11" fillId="6" borderId="18" xfId="0" applyFont="1" applyFill="1" applyBorder="1" applyAlignment="1">
      <alignment horizontal="left" vertical="center" wrapText="1"/>
    </xf>
    <xf numFmtId="0" fontId="10" fillId="6" borderId="18" xfId="0" applyFont="1" applyFill="1" applyBorder="1" applyAlignment="1">
      <alignment horizontal="left" vertical="top" wrapText="1"/>
    </xf>
    <xf numFmtId="0" fontId="11" fillId="7" borderId="38" xfId="0" applyFont="1" applyFill="1" applyBorder="1" applyAlignment="1">
      <alignment horizontal="center" vertical="center" wrapText="1"/>
    </xf>
    <xf numFmtId="0" fontId="11" fillId="7" borderId="39" xfId="0" applyFont="1" applyFill="1" applyBorder="1" applyAlignment="1">
      <alignment horizontal="center" vertical="center" wrapText="1"/>
    </xf>
    <xf numFmtId="0" fontId="11" fillId="7" borderId="40" xfId="0" applyFont="1" applyFill="1" applyBorder="1" applyAlignment="1">
      <alignment horizontal="center" vertical="center" wrapText="1"/>
    </xf>
    <xf numFmtId="0" fontId="11" fillId="7" borderId="16" xfId="0" applyFont="1" applyFill="1" applyBorder="1" applyAlignment="1">
      <alignment horizontal="center" vertical="center" wrapText="1"/>
    </xf>
    <xf numFmtId="0" fontId="11" fillId="7" borderId="13" xfId="0" applyFont="1" applyFill="1" applyBorder="1" applyAlignment="1">
      <alignment horizontal="center" vertical="center" wrapText="1"/>
    </xf>
    <xf numFmtId="0" fontId="11" fillId="7" borderId="14" xfId="0" applyFont="1" applyFill="1" applyBorder="1" applyAlignment="1">
      <alignment horizontal="center" vertical="center" wrapText="1"/>
    </xf>
    <xf numFmtId="0" fontId="10" fillId="6" borderId="48" xfId="0" applyFont="1" applyFill="1" applyBorder="1" applyAlignment="1">
      <alignment horizontal="center" vertical="center" wrapText="1"/>
    </xf>
    <xf numFmtId="0" fontId="10" fillId="6" borderId="49" xfId="0" applyFont="1" applyFill="1" applyBorder="1" applyAlignment="1">
      <alignment horizontal="center" vertical="center" wrapText="1"/>
    </xf>
    <xf numFmtId="0" fontId="10" fillId="6" borderId="22" xfId="0" applyFont="1" applyFill="1" applyBorder="1" applyAlignment="1" applyProtection="1">
      <alignment horizontal="center" vertical="center" wrapText="1"/>
      <protection locked="0"/>
    </xf>
    <xf numFmtId="0" fontId="10" fillId="6" borderId="6" xfId="0" applyFont="1" applyFill="1" applyBorder="1" applyAlignment="1" applyProtection="1">
      <alignment horizontal="center" vertical="center" wrapText="1"/>
      <protection locked="0"/>
    </xf>
    <xf numFmtId="0" fontId="12" fillId="5" borderId="4" xfId="0" applyFont="1" applyFill="1" applyBorder="1" applyAlignment="1">
      <alignment vertical="center" wrapText="1"/>
    </xf>
    <xf numFmtId="0" fontId="12" fillId="5" borderId="5" xfId="0" applyFont="1" applyFill="1" applyBorder="1" applyAlignment="1">
      <alignment vertical="center" wrapText="1"/>
    </xf>
    <xf numFmtId="0" fontId="12" fillId="5" borderId="6" xfId="0" applyFont="1" applyFill="1" applyBorder="1" applyAlignment="1">
      <alignment vertical="center" wrapText="1"/>
    </xf>
    <xf numFmtId="0" fontId="10" fillId="6" borderId="47" xfId="0" applyFont="1" applyFill="1" applyBorder="1" applyAlignment="1">
      <alignment horizontal="center" vertical="center" wrapText="1"/>
    </xf>
    <xf numFmtId="0" fontId="12" fillId="5" borderId="38" xfId="0" applyFont="1" applyFill="1" applyBorder="1" applyAlignment="1">
      <alignment vertical="center" wrapText="1"/>
    </xf>
    <xf numFmtId="0" fontId="12" fillId="5" borderId="39" xfId="0" applyFont="1" applyFill="1" applyBorder="1" applyAlignment="1">
      <alignment vertical="center" wrapText="1"/>
    </xf>
    <xf numFmtId="0" fontId="12" fillId="5" borderId="40" xfId="0" applyFont="1" applyFill="1" applyBorder="1" applyAlignment="1">
      <alignment vertical="center" wrapText="1"/>
    </xf>
    <xf numFmtId="0" fontId="11" fillId="6" borderId="22" xfId="0" applyFont="1" applyFill="1" applyBorder="1" applyAlignment="1">
      <alignment horizontal="left" vertical="center" wrapText="1"/>
    </xf>
    <xf numFmtId="0" fontId="11" fillId="6" borderId="5" xfId="0" applyFont="1" applyFill="1" applyBorder="1" applyAlignment="1">
      <alignment horizontal="left" vertical="center" wrapText="1"/>
    </xf>
    <xf numFmtId="0" fontId="11" fillId="6" borderId="6" xfId="0" applyFont="1" applyFill="1" applyBorder="1" applyAlignment="1">
      <alignment horizontal="left" vertical="center" wrapText="1"/>
    </xf>
    <xf numFmtId="0" fontId="10" fillId="6" borderId="19" xfId="0" applyFont="1" applyFill="1" applyBorder="1" applyAlignment="1">
      <alignment horizontal="left" vertical="center" wrapText="1"/>
    </xf>
    <xf numFmtId="0" fontId="10" fillId="6" borderId="25" xfId="0" applyFont="1" applyFill="1" applyBorder="1" applyAlignment="1">
      <alignment horizontal="left" vertical="center" wrapText="1"/>
    </xf>
    <xf numFmtId="0" fontId="10" fillId="6" borderId="17" xfId="0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 wrapText="1"/>
    </xf>
    <xf numFmtId="0" fontId="12" fillId="5" borderId="38" xfId="0" applyFont="1" applyFill="1" applyBorder="1" applyAlignment="1">
      <alignment horizontal="center" vertical="center" wrapText="1"/>
    </xf>
    <xf numFmtId="0" fontId="12" fillId="5" borderId="39" xfId="0" applyFont="1" applyFill="1" applyBorder="1" applyAlignment="1">
      <alignment horizontal="center" vertical="center" wrapText="1"/>
    </xf>
    <xf numFmtId="0" fontId="10" fillId="9" borderId="23" xfId="0" applyFont="1" applyFill="1" applyBorder="1" applyAlignment="1">
      <alignment horizontal="center" vertical="top" wrapText="1"/>
    </xf>
    <xf numFmtId="0" fontId="10" fillId="9" borderId="24" xfId="0" applyFont="1" applyFill="1" applyBorder="1" applyAlignment="1">
      <alignment horizontal="center" vertical="top" wrapText="1"/>
    </xf>
    <xf numFmtId="0" fontId="11" fillId="6" borderId="4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1" fillId="6" borderId="21" xfId="0" applyFont="1" applyFill="1" applyBorder="1" applyAlignment="1">
      <alignment horizontal="center" vertical="center" wrapText="1"/>
    </xf>
    <xf numFmtId="0" fontId="11" fillId="0" borderId="58" xfId="0" applyFont="1" applyBorder="1" applyAlignment="1">
      <alignment horizontal="center" vertical="center"/>
    </xf>
    <xf numFmtId="0" fontId="11" fillId="4" borderId="54" xfId="0" applyFont="1" applyFill="1" applyBorder="1" applyAlignment="1">
      <alignment horizontal="center" vertical="center"/>
    </xf>
    <xf numFmtId="0" fontId="11" fillId="4" borderId="52" xfId="0" applyFont="1" applyFill="1" applyBorder="1" applyAlignment="1">
      <alignment horizontal="center" vertical="center"/>
    </xf>
    <xf numFmtId="0" fontId="11" fillId="4" borderId="56" xfId="0" applyFont="1" applyFill="1" applyBorder="1" applyAlignment="1">
      <alignment horizontal="center" vertical="center"/>
    </xf>
    <xf numFmtId="0" fontId="11" fillId="6" borderId="32" xfId="0" applyFont="1" applyFill="1" applyBorder="1" applyAlignment="1">
      <alignment horizontal="center" vertical="center" wrapText="1"/>
    </xf>
    <xf numFmtId="0" fontId="11" fillId="6" borderId="50" xfId="0" applyFont="1" applyFill="1" applyBorder="1" applyAlignment="1">
      <alignment horizontal="center" vertical="center" wrapText="1"/>
    </xf>
    <xf numFmtId="0" fontId="11" fillId="6" borderId="29" xfId="0" applyFont="1" applyFill="1" applyBorder="1" applyAlignment="1">
      <alignment horizontal="center" vertical="center" wrapText="1"/>
    </xf>
    <xf numFmtId="0" fontId="11" fillId="4" borderId="53" xfId="0" applyFont="1" applyFill="1" applyBorder="1" applyAlignment="1">
      <alignment horizontal="center" vertical="center"/>
    </xf>
    <xf numFmtId="0" fontId="18" fillId="0" borderId="64" xfId="0" applyFont="1" applyBorder="1" applyAlignment="1">
      <alignment horizontal="center" wrapText="1"/>
    </xf>
    <xf numFmtId="0" fontId="11" fillId="7" borderId="35" xfId="0" applyFont="1" applyFill="1" applyBorder="1" applyAlignment="1">
      <alignment horizontal="center" vertical="center" wrapText="1"/>
    </xf>
    <xf numFmtId="0" fontId="11" fillId="7" borderId="0" xfId="0" applyFont="1" applyFill="1" applyBorder="1" applyAlignment="1">
      <alignment horizontal="center" vertical="center" wrapText="1"/>
    </xf>
    <xf numFmtId="0" fontId="11" fillId="4" borderId="61" xfId="0" applyFont="1" applyFill="1" applyBorder="1" applyAlignment="1">
      <alignment horizontal="center" vertical="center"/>
    </xf>
    <xf numFmtId="0" fontId="11" fillId="4" borderId="59" xfId="0" applyFont="1" applyFill="1" applyBorder="1" applyAlignment="1">
      <alignment horizontal="center" vertical="center"/>
    </xf>
    <xf numFmtId="0" fontId="11" fillId="4" borderId="60" xfId="0" applyFont="1" applyFill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0" fontId="12" fillId="5" borderId="35" xfId="0" applyFont="1" applyFill="1" applyBorder="1" applyAlignment="1">
      <alignment horizontal="center" vertical="center" wrapText="1"/>
    </xf>
    <xf numFmtId="0" fontId="12" fillId="5" borderId="0" xfId="0" applyFont="1" applyFill="1" applyBorder="1" applyAlignment="1">
      <alignment horizontal="center" vertical="center" wrapText="1"/>
    </xf>
    <xf numFmtId="0" fontId="11" fillId="4" borderId="55" xfId="0" applyFont="1" applyFill="1" applyBorder="1" applyAlignment="1">
      <alignment horizontal="center" vertical="center"/>
    </xf>
    <xf numFmtId="0" fontId="11" fillId="6" borderId="52" xfId="0" applyFont="1" applyFill="1" applyBorder="1" applyAlignment="1">
      <alignment horizontal="center" vertical="center" wrapText="1"/>
    </xf>
    <xf numFmtId="0" fontId="11" fillId="6" borderId="56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wrapText="1"/>
    </xf>
    <xf numFmtId="0" fontId="1" fillId="0" borderId="1" xfId="1" applyAlignment="1">
      <alignment horizontal="center"/>
    </xf>
    <xf numFmtId="0" fontId="2" fillId="0" borderId="0" xfId="0" applyFont="1" applyAlignment="1">
      <alignment horizontal="left"/>
    </xf>
  </cellXfs>
  <cellStyles count="6">
    <cellStyle name="20 % - Akzent5" xfId="5" builtinId="46"/>
    <cellStyle name="Ausgabe" xfId="4" builtinId="21"/>
    <cellStyle name="Berechnung" xfId="3" builtinId="22"/>
    <cellStyle name="Eingabe" xfId="2" builtinId="20"/>
    <cellStyle name="Standard" xfId="0" builtinId="0"/>
    <cellStyle name="Überschrift 1" xfId="1" builtinId="16"/>
  </cellStyles>
  <dxfs count="2">
    <dxf>
      <font>
        <color rgb="FF9C0006"/>
      </font>
      <fill>
        <patternFill>
          <bgColor rgb="FFFFC7CE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66675</xdr:colOff>
      <xdr:row>15</xdr:row>
      <xdr:rowOff>123825</xdr:rowOff>
    </xdr:from>
    <xdr:to>
      <xdr:col>16</xdr:col>
      <xdr:colOff>381000</xdr:colOff>
      <xdr:row>25</xdr:row>
      <xdr:rowOff>38101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9B7817C9-B433-4709-ADC1-483FA1987ED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71" t="15791" r="17747" b="51777"/>
        <a:stretch/>
      </xdr:blipFill>
      <xdr:spPr>
        <a:xfrm>
          <a:off x="12372975" y="3181350"/>
          <a:ext cx="5648325" cy="181927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Bereichsdaten\IMA\StuMa\Dokumente\&#220;bersichtsplan\Automatisiert\&#220;bersichtsplan_PEKT_automatisiert_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Übersichtsplan_Vorlage"/>
      <sheetName val="B.Sc.-Ergänzungsmodule"/>
      <sheetName val="Wahlpflichtmodule"/>
      <sheetName val="Spezialisierungsfach"/>
      <sheetName val="Zusammenfassung"/>
      <sheetName val="Hinweis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">
  <a:themeElements>
    <a:clrScheme name="Uni-Farben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004191"/>
      </a:accent1>
      <a:accent2>
        <a:srgbClr val="323232"/>
      </a:accent2>
      <a:accent3>
        <a:srgbClr val="00BEFF"/>
      </a:accent3>
      <a:accent4>
        <a:srgbClr val="FFD500"/>
      </a:accent4>
      <a:accent5>
        <a:srgbClr val="9F9998"/>
      </a:accent5>
      <a:accent6>
        <a:srgbClr val="7DC6EA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A6C1B-F645-4B1F-AB64-46675C39B933}">
  <dimension ref="A1:J52"/>
  <sheetViews>
    <sheetView showGridLines="0" view="pageLayout" zoomScaleNormal="100" workbookViewId="0">
      <selection activeCell="A5" sqref="A5"/>
    </sheetView>
  </sheetViews>
  <sheetFormatPr baseColWidth="10" defaultColWidth="0" defaultRowHeight="15" zeroHeight="1" x14ac:dyDescent="0.25"/>
  <cols>
    <col min="1" max="2" width="10" customWidth="1"/>
    <col min="3" max="3" width="12" customWidth="1"/>
    <col min="4" max="5" width="10" customWidth="1"/>
    <col min="6" max="6" width="12.7109375" customWidth="1"/>
    <col min="7" max="9" width="10" customWidth="1"/>
    <col min="10" max="10" width="2" customWidth="1"/>
    <col min="11" max="16384" width="11.42578125" hidden="1"/>
  </cols>
  <sheetData>
    <row r="1" spans="1:9" ht="16.5" customHeight="1" x14ac:dyDescent="0.25">
      <c r="A1" s="127" t="s">
        <v>224</v>
      </c>
      <c r="B1" s="127"/>
      <c r="C1" s="127"/>
      <c r="D1" s="127"/>
      <c r="E1" s="127"/>
      <c r="F1" s="127"/>
      <c r="G1" s="127"/>
      <c r="H1" s="127"/>
      <c r="I1" s="127"/>
    </row>
    <row r="2" spans="1:9" ht="16.350000000000001" customHeight="1" x14ac:dyDescent="0.25">
      <c r="A2" s="142" t="s">
        <v>225</v>
      </c>
      <c r="B2" s="142"/>
      <c r="C2" s="142"/>
      <c r="D2" s="142"/>
      <c r="E2" s="142"/>
      <c r="F2" s="142"/>
      <c r="G2" s="142"/>
      <c r="H2" s="142"/>
      <c r="I2" s="142"/>
    </row>
    <row r="3" spans="1:9" ht="9.75" customHeight="1" thickBot="1" x14ac:dyDescent="0.3">
      <c r="A3" s="141"/>
      <c r="B3" s="141"/>
      <c r="C3" s="141"/>
      <c r="D3" s="141"/>
      <c r="E3" s="141"/>
      <c r="F3" s="141"/>
      <c r="G3" s="141"/>
      <c r="H3" s="141"/>
      <c r="I3" s="141"/>
    </row>
    <row r="4" spans="1:9" ht="15.75" thickBot="1" x14ac:dyDescent="0.3">
      <c r="A4" s="173" t="s">
        <v>207</v>
      </c>
      <c r="B4" s="174"/>
      <c r="C4" s="174"/>
      <c r="D4" s="174"/>
      <c r="E4" s="174"/>
      <c r="F4" s="174"/>
      <c r="G4" s="174"/>
      <c r="H4" s="174"/>
      <c r="I4" s="175"/>
    </row>
    <row r="5" spans="1:9" ht="15.75" thickBot="1" x14ac:dyDescent="0.3">
      <c r="A5" s="83"/>
      <c r="B5" s="84"/>
      <c r="C5" s="185"/>
      <c r="D5" s="149"/>
      <c r="E5" s="149"/>
      <c r="F5" s="149"/>
      <c r="G5" s="150"/>
      <c r="H5" s="84"/>
      <c r="I5" s="85"/>
    </row>
    <row r="6" spans="1:9" ht="24.75" customHeight="1" thickBot="1" x14ac:dyDescent="0.3">
      <c r="A6" s="7" t="s">
        <v>222</v>
      </c>
      <c r="B6" s="6" t="s">
        <v>220</v>
      </c>
      <c r="C6" s="183" t="s">
        <v>208</v>
      </c>
      <c r="D6" s="144"/>
      <c r="E6" s="145"/>
      <c r="F6" s="122" t="s">
        <v>209</v>
      </c>
      <c r="G6" s="6"/>
      <c r="H6" s="6" t="s">
        <v>210</v>
      </c>
      <c r="I6" s="8" t="s">
        <v>223</v>
      </c>
    </row>
    <row r="7" spans="1:9" ht="15.75" thickBot="1" x14ac:dyDescent="0.3">
      <c r="A7" s="146"/>
      <c r="B7" s="147"/>
      <c r="C7" s="147"/>
      <c r="D7" s="148"/>
      <c r="E7" s="149"/>
      <c r="F7" s="150"/>
      <c r="G7" s="171"/>
      <c r="H7" s="147"/>
      <c r="I7" s="172"/>
    </row>
    <row r="8" spans="1:9" ht="15.75" customHeight="1" thickBot="1" x14ac:dyDescent="0.3">
      <c r="A8" s="143" t="s">
        <v>211</v>
      </c>
      <c r="B8" s="144"/>
      <c r="C8" s="144"/>
      <c r="D8" s="145"/>
      <c r="E8" s="122" t="s">
        <v>212</v>
      </c>
      <c r="F8" s="6"/>
      <c r="G8" s="183" t="s">
        <v>221</v>
      </c>
      <c r="H8" s="144"/>
      <c r="I8" s="184"/>
    </row>
    <row r="9" spans="1:9" ht="9.75" customHeight="1" thickBot="1" x14ac:dyDescent="0.3">
      <c r="A9" s="16"/>
      <c r="B9" s="17"/>
      <c r="C9" s="17"/>
      <c r="D9" s="17"/>
      <c r="E9" s="17"/>
      <c r="F9" s="17"/>
      <c r="G9" s="17"/>
      <c r="H9" s="17"/>
      <c r="I9" s="18"/>
    </row>
    <row r="10" spans="1:9" ht="24" customHeight="1" thickBot="1" x14ac:dyDescent="0.3">
      <c r="A10" s="163" t="s">
        <v>214</v>
      </c>
      <c r="B10" s="164"/>
      <c r="C10" s="164"/>
      <c r="D10" s="164"/>
      <c r="E10" s="164"/>
      <c r="F10" s="164"/>
      <c r="G10" s="164"/>
      <c r="H10" s="164"/>
      <c r="I10" s="165"/>
    </row>
    <row r="11" spans="1:9" ht="9.75" customHeight="1" thickBot="1" x14ac:dyDescent="0.3">
      <c r="A11" s="19"/>
      <c r="B11" s="20"/>
      <c r="C11" s="20"/>
      <c r="D11" s="20"/>
      <c r="E11" s="20"/>
      <c r="F11" s="20"/>
      <c r="G11" s="20"/>
      <c r="H11" s="20"/>
      <c r="I11" s="21"/>
    </row>
    <row r="12" spans="1:9" ht="15.75" customHeight="1" thickBot="1" x14ac:dyDescent="0.3">
      <c r="A12" s="177" t="s">
        <v>227</v>
      </c>
      <c r="B12" s="178"/>
      <c r="C12" s="178"/>
      <c r="D12" s="178"/>
      <c r="E12" s="178"/>
      <c r="F12" s="178"/>
      <c r="G12" s="178"/>
      <c r="H12" s="178"/>
      <c r="I12" s="179"/>
    </row>
    <row r="13" spans="1:9" ht="15.75" customHeight="1" thickBot="1" x14ac:dyDescent="0.3">
      <c r="A13" s="163" t="s">
        <v>272</v>
      </c>
      <c r="B13" s="164"/>
      <c r="C13" s="164"/>
      <c r="D13" s="164"/>
      <c r="E13" s="164"/>
      <c r="F13" s="164"/>
      <c r="G13" s="164"/>
      <c r="H13" s="164"/>
      <c r="I13" s="165"/>
    </row>
    <row r="14" spans="1:9" ht="15.75" customHeight="1" thickBot="1" x14ac:dyDescent="0.3">
      <c r="A14" s="9" t="s">
        <v>213</v>
      </c>
      <c r="B14" s="180" t="s">
        <v>3</v>
      </c>
      <c r="C14" s="181"/>
      <c r="D14" s="181"/>
      <c r="E14" s="181"/>
      <c r="F14" s="181"/>
      <c r="G14" s="181"/>
      <c r="H14" s="181"/>
      <c r="I14" s="182"/>
    </row>
    <row r="15" spans="1:9" ht="15.75" customHeight="1" thickBot="1" x14ac:dyDescent="0.3">
      <c r="A15" s="121" t="str">
        <f>Zusammenfassung!B31</f>
        <v/>
      </c>
      <c r="B15" s="138" t="str">
        <f ca="1">Zusammenfassung!C31</f>
        <v/>
      </c>
      <c r="C15" s="139"/>
      <c r="D15" s="139"/>
      <c r="E15" s="139"/>
      <c r="F15" s="139"/>
      <c r="G15" s="139"/>
      <c r="H15" s="139"/>
      <c r="I15" s="140"/>
    </row>
    <row r="16" spans="1:9" ht="15.75" customHeight="1" thickBot="1" x14ac:dyDescent="0.3">
      <c r="A16" s="121" t="str">
        <f>Zusammenfassung!B32</f>
        <v/>
      </c>
      <c r="B16" s="138" t="str">
        <f ca="1">Zusammenfassung!C32</f>
        <v/>
      </c>
      <c r="C16" s="139"/>
      <c r="D16" s="139"/>
      <c r="E16" s="139"/>
      <c r="F16" s="139"/>
      <c r="G16" s="139"/>
      <c r="H16" s="139"/>
      <c r="I16" s="140"/>
    </row>
    <row r="17" spans="1:9" ht="15.75" customHeight="1" thickBot="1" x14ac:dyDescent="0.3">
      <c r="A17" s="177" t="s">
        <v>215</v>
      </c>
      <c r="B17" s="178"/>
      <c r="C17" s="178"/>
      <c r="D17" s="178"/>
      <c r="E17" s="178"/>
      <c r="F17" s="178"/>
      <c r="G17" s="178"/>
      <c r="H17" s="178"/>
      <c r="I17" s="179"/>
    </row>
    <row r="18" spans="1:9" ht="15.75" customHeight="1" thickBot="1" x14ac:dyDescent="0.3">
      <c r="A18" s="163" t="s">
        <v>271</v>
      </c>
      <c r="B18" s="164"/>
      <c r="C18" s="164"/>
      <c r="D18" s="164"/>
      <c r="E18" s="164"/>
      <c r="F18" s="164"/>
      <c r="G18" s="164"/>
      <c r="H18" s="164"/>
      <c r="I18" s="165"/>
    </row>
    <row r="19" spans="1:9" ht="15.75" customHeight="1" thickBot="1" x14ac:dyDescent="0.3">
      <c r="A19" s="12" t="s">
        <v>218</v>
      </c>
      <c r="B19" s="13" t="s">
        <v>213</v>
      </c>
      <c r="C19" s="180" t="s">
        <v>3</v>
      </c>
      <c r="D19" s="181"/>
      <c r="E19" s="181"/>
      <c r="F19" s="181"/>
      <c r="G19" s="181"/>
      <c r="H19" s="181"/>
      <c r="I19" s="182"/>
    </row>
    <row r="20" spans="1:9" ht="15.75" customHeight="1" thickBot="1" x14ac:dyDescent="0.3">
      <c r="A20" s="25">
        <v>1</v>
      </c>
      <c r="B20" s="106" t="str">
        <f>Zusammenfassung!B5</f>
        <v/>
      </c>
      <c r="C20" s="138" t="str">
        <f ca="1">Zusammenfassung!C5</f>
        <v/>
      </c>
      <c r="D20" s="139"/>
      <c r="E20" s="139"/>
      <c r="F20" s="139"/>
      <c r="G20" s="139"/>
      <c r="H20" s="139"/>
      <c r="I20" s="140"/>
    </row>
    <row r="21" spans="1:9" ht="15.75" customHeight="1" thickBot="1" x14ac:dyDescent="0.3">
      <c r="A21" s="25">
        <v>2</v>
      </c>
      <c r="B21" s="106" t="str">
        <f>Zusammenfassung!B6</f>
        <v/>
      </c>
      <c r="C21" s="138" t="str">
        <f ca="1">Zusammenfassung!C6</f>
        <v/>
      </c>
      <c r="D21" s="139"/>
      <c r="E21" s="139"/>
      <c r="F21" s="139"/>
      <c r="G21" s="139"/>
      <c r="H21" s="139"/>
      <c r="I21" s="140"/>
    </row>
    <row r="22" spans="1:9" ht="15.75" customHeight="1" thickBot="1" x14ac:dyDescent="0.3">
      <c r="A22" s="25">
        <v>3</v>
      </c>
      <c r="B22" s="106" t="str">
        <f>Zusammenfassung!B7</f>
        <v/>
      </c>
      <c r="C22" s="138" t="str">
        <f ca="1">Zusammenfassung!C7</f>
        <v/>
      </c>
      <c r="D22" s="139"/>
      <c r="E22" s="139"/>
      <c r="F22" s="139"/>
      <c r="G22" s="139"/>
      <c r="H22" s="139"/>
      <c r="I22" s="140"/>
    </row>
    <row r="23" spans="1:9" ht="15.75" thickBot="1" x14ac:dyDescent="0.3">
      <c r="A23" s="163" t="str">
        <f>IFERROR(CONCATENATE("Spezialisierungsfach 1 (18 ECTS): ",Zusammenfassung!A15),"Spezialisierungsfach 1 (18 ECTS): ")</f>
        <v xml:space="preserve">Spezialisierungsfach 1 (18 ECTS): </v>
      </c>
      <c r="B23" s="164"/>
      <c r="C23" s="164"/>
      <c r="D23" s="164"/>
      <c r="E23" s="164"/>
      <c r="F23" s="164"/>
      <c r="G23" s="164"/>
      <c r="H23" s="164"/>
      <c r="I23" s="165"/>
    </row>
    <row r="24" spans="1:9" ht="15.75" customHeight="1" thickBot="1" x14ac:dyDescent="0.3">
      <c r="A24" s="151" t="s">
        <v>273</v>
      </c>
      <c r="B24" s="152"/>
      <c r="C24" s="152"/>
      <c r="D24" s="152"/>
      <c r="E24" s="152"/>
      <c r="F24" s="152"/>
      <c r="G24" s="152"/>
      <c r="H24" s="152"/>
      <c r="I24" s="153"/>
    </row>
    <row r="25" spans="1:9" ht="27" customHeight="1" thickBot="1" x14ac:dyDescent="0.3">
      <c r="A25" s="9" t="s">
        <v>213</v>
      </c>
      <c r="B25" s="159" t="s">
        <v>3</v>
      </c>
      <c r="C25" s="160"/>
      <c r="D25" s="160"/>
      <c r="E25" s="160"/>
      <c r="F25" s="160"/>
      <c r="G25" s="161"/>
      <c r="H25" s="10" t="s">
        <v>219</v>
      </c>
      <c r="I25" s="11" t="s">
        <v>216</v>
      </c>
    </row>
    <row r="26" spans="1:9" ht="15.75" customHeight="1" thickBot="1" x14ac:dyDescent="0.3">
      <c r="A26" s="23" t="str">
        <f>Zusammenfassung!B16</f>
        <v/>
      </c>
      <c r="B26" s="138" t="str">
        <f ca="1">Zusammenfassung!C16</f>
        <v/>
      </c>
      <c r="C26" s="139"/>
      <c r="D26" s="139"/>
      <c r="E26" s="139"/>
      <c r="F26" s="139"/>
      <c r="G26" s="162"/>
      <c r="H26" s="24" t="s">
        <v>55</v>
      </c>
      <c r="I26" s="5"/>
    </row>
    <row r="27" spans="1:9" ht="15.75" customHeight="1" thickBot="1" x14ac:dyDescent="0.3">
      <c r="A27" s="23" t="str">
        <f>Zusammenfassung!B17</f>
        <v/>
      </c>
      <c r="B27" s="138" t="str">
        <f ca="1">Zusammenfassung!C17</f>
        <v/>
      </c>
      <c r="C27" s="139"/>
      <c r="D27" s="139"/>
      <c r="E27" s="139"/>
      <c r="F27" s="139"/>
      <c r="G27" s="162"/>
      <c r="H27" s="24" t="s">
        <v>56</v>
      </c>
      <c r="I27" s="5"/>
    </row>
    <row r="28" spans="1:9" ht="15.75" customHeight="1" thickBot="1" x14ac:dyDescent="0.3">
      <c r="A28" s="23" t="str">
        <f>Zusammenfassung!B18</f>
        <v/>
      </c>
      <c r="B28" s="138" t="str">
        <f ca="1">Zusammenfassung!C18</f>
        <v/>
      </c>
      <c r="C28" s="139"/>
      <c r="D28" s="139"/>
      <c r="E28" s="139"/>
      <c r="F28" s="139"/>
      <c r="G28" s="162"/>
      <c r="H28" s="24" t="s">
        <v>57</v>
      </c>
      <c r="I28" s="5"/>
    </row>
    <row r="29" spans="1:9" ht="15.75" customHeight="1" thickBot="1" x14ac:dyDescent="0.3">
      <c r="A29" s="23" t="str">
        <f>Zusammenfassung!B19</f>
        <v/>
      </c>
      <c r="B29" s="138" t="str">
        <f ca="1">Zusammenfassung!C19</f>
        <v/>
      </c>
      <c r="C29" s="139"/>
      <c r="D29" s="139"/>
      <c r="E29" s="139"/>
      <c r="F29" s="139"/>
      <c r="G29" s="162"/>
      <c r="H29" s="24" t="s">
        <v>270</v>
      </c>
      <c r="I29" s="5"/>
    </row>
    <row r="30" spans="1:9" ht="15.75" customHeight="1" x14ac:dyDescent="0.25">
      <c r="A30" s="136"/>
      <c r="B30" s="129"/>
      <c r="C30" s="134"/>
      <c r="D30" s="128"/>
      <c r="E30" s="129"/>
      <c r="F30" s="134"/>
      <c r="G30" s="128"/>
      <c r="H30" s="129"/>
      <c r="I30" s="130"/>
    </row>
    <row r="31" spans="1:9" ht="15.75" customHeight="1" x14ac:dyDescent="0.25">
      <c r="A31" s="137"/>
      <c r="B31" s="132"/>
      <c r="C31" s="135"/>
      <c r="D31" s="131"/>
      <c r="E31" s="132"/>
      <c r="F31" s="135"/>
      <c r="G31" s="131"/>
      <c r="H31" s="132"/>
      <c r="I31" s="133"/>
    </row>
    <row r="32" spans="1:9" ht="24.75" customHeight="1" thickBot="1" x14ac:dyDescent="0.3">
      <c r="A32" s="176" t="s">
        <v>276</v>
      </c>
      <c r="B32" s="169"/>
      <c r="C32" s="169"/>
      <c r="D32" s="169" t="s">
        <v>275</v>
      </c>
      <c r="E32" s="169"/>
      <c r="F32" s="169"/>
      <c r="G32" s="169" t="s">
        <v>217</v>
      </c>
      <c r="H32" s="169"/>
      <c r="I32" s="170"/>
    </row>
    <row r="33" spans="1:9" ht="24.75" customHeight="1" thickBot="1" x14ac:dyDescent="0.3">
      <c r="A33" s="166" t="str">
        <f>IFERROR(CONCATENATE("Spezialisierungsfach 2 (18 ECTS): ",Zusammenfassung!A24),"Spezialisierungsfach 2 (18 ECTS): ")</f>
        <v xml:space="preserve">Spezialisierungsfach 2 (18 ECTS): </v>
      </c>
      <c r="B33" s="167"/>
      <c r="C33" s="167"/>
      <c r="D33" s="167"/>
      <c r="E33" s="167"/>
      <c r="F33" s="167"/>
      <c r="G33" s="167"/>
      <c r="H33" s="167"/>
      <c r="I33" s="168"/>
    </row>
    <row r="34" spans="1:9" ht="15.75" customHeight="1" thickBot="1" x14ac:dyDescent="0.3">
      <c r="A34" s="151" t="s">
        <v>274</v>
      </c>
      <c r="B34" s="152"/>
      <c r="C34" s="152"/>
      <c r="D34" s="152"/>
      <c r="E34" s="152"/>
      <c r="F34" s="152"/>
      <c r="G34" s="152"/>
      <c r="H34" s="152"/>
      <c r="I34" s="153"/>
    </row>
    <row r="35" spans="1:9" ht="27" customHeight="1" thickBot="1" x14ac:dyDescent="0.3">
      <c r="A35" s="9" t="s">
        <v>213</v>
      </c>
      <c r="B35" s="159" t="s">
        <v>3</v>
      </c>
      <c r="C35" s="160"/>
      <c r="D35" s="160"/>
      <c r="E35" s="160"/>
      <c r="F35" s="160"/>
      <c r="G35" s="161"/>
      <c r="H35" s="10" t="s">
        <v>219</v>
      </c>
      <c r="I35" s="11" t="s">
        <v>216</v>
      </c>
    </row>
    <row r="36" spans="1:9" ht="15.75" customHeight="1" thickBot="1" x14ac:dyDescent="0.3">
      <c r="A36" s="23" t="str">
        <f>Zusammenfassung!B25</f>
        <v/>
      </c>
      <c r="B36" s="138" t="str">
        <f ca="1">Zusammenfassung!C25</f>
        <v/>
      </c>
      <c r="C36" s="139"/>
      <c r="D36" s="139"/>
      <c r="E36" s="139"/>
      <c r="F36" s="139"/>
      <c r="G36" s="162"/>
      <c r="H36" s="24" t="s">
        <v>55</v>
      </c>
      <c r="I36" s="5"/>
    </row>
    <row r="37" spans="1:9" ht="15.75" customHeight="1" thickBot="1" x14ac:dyDescent="0.3">
      <c r="A37" s="23" t="str">
        <f>Zusammenfassung!B26</f>
        <v/>
      </c>
      <c r="B37" s="138" t="str">
        <f ca="1">Zusammenfassung!C26</f>
        <v/>
      </c>
      <c r="C37" s="139"/>
      <c r="D37" s="139"/>
      <c r="E37" s="139"/>
      <c r="F37" s="139"/>
      <c r="G37" s="162"/>
      <c r="H37" s="24" t="s">
        <v>56</v>
      </c>
      <c r="I37" s="5"/>
    </row>
    <row r="38" spans="1:9" ht="15.75" thickBot="1" x14ac:dyDescent="0.3">
      <c r="A38" s="23" t="str">
        <f>Zusammenfassung!B27</f>
        <v/>
      </c>
      <c r="B38" s="138" t="str">
        <f ca="1">Zusammenfassung!C27</f>
        <v/>
      </c>
      <c r="C38" s="139"/>
      <c r="D38" s="139"/>
      <c r="E38" s="139"/>
      <c r="F38" s="139"/>
      <c r="G38" s="162"/>
      <c r="H38" s="24" t="s">
        <v>57</v>
      </c>
      <c r="I38" s="5"/>
    </row>
    <row r="39" spans="1:9" ht="24.75" thickBot="1" x14ac:dyDescent="0.3">
      <c r="A39" s="23" t="str">
        <f>Zusammenfassung!B28</f>
        <v/>
      </c>
      <c r="B39" s="138" t="str">
        <f ca="1">Zusammenfassung!C28</f>
        <v/>
      </c>
      <c r="C39" s="139"/>
      <c r="D39" s="139"/>
      <c r="E39" s="139"/>
      <c r="F39" s="139"/>
      <c r="G39" s="162"/>
      <c r="H39" s="24" t="s">
        <v>270</v>
      </c>
      <c r="I39" s="5"/>
    </row>
    <row r="40" spans="1:9" x14ac:dyDescent="0.25">
      <c r="A40" s="136"/>
      <c r="B40" s="129"/>
      <c r="C40" s="134"/>
      <c r="D40" s="128"/>
      <c r="E40" s="129"/>
      <c r="F40" s="134"/>
      <c r="G40" s="128"/>
      <c r="H40" s="129"/>
      <c r="I40" s="130"/>
    </row>
    <row r="41" spans="1:9" x14ac:dyDescent="0.25">
      <c r="A41" s="137"/>
      <c r="B41" s="132"/>
      <c r="C41" s="135"/>
      <c r="D41" s="131"/>
      <c r="E41" s="132"/>
      <c r="F41" s="135"/>
      <c r="G41" s="131"/>
      <c r="H41" s="132"/>
      <c r="I41" s="133"/>
    </row>
    <row r="42" spans="1:9" ht="15.75" thickBot="1" x14ac:dyDescent="0.3">
      <c r="A42" s="154" t="str">
        <f>A32</f>
        <v>Datum / Unterschrift Student*in</v>
      </c>
      <c r="B42" s="155"/>
      <c r="C42" s="156"/>
      <c r="D42" s="157" t="str">
        <f>D32</f>
        <v>Datum / Unterschrift Professor*in</v>
      </c>
      <c r="E42" s="155"/>
      <c r="F42" s="156"/>
      <c r="G42" s="157" t="s">
        <v>217</v>
      </c>
      <c r="H42" s="155"/>
      <c r="I42" s="158"/>
    </row>
    <row r="43" spans="1:9" x14ac:dyDescent="0.25">
      <c r="A43" s="31" t="str">
        <f>Zusammenfassung!C9</f>
        <v/>
      </c>
      <c r="E43" s="31" t="str">
        <f>Zusammenfassung!C34</f>
        <v/>
      </c>
    </row>
    <row r="44" spans="1:9" x14ac:dyDescent="0.25">
      <c r="A44" s="31" t="str">
        <f>Zusammenfassung!C36</f>
        <v/>
      </c>
      <c r="E44" s="31" t="str">
        <f>Zusammenfassung!C12</f>
        <v/>
      </c>
    </row>
    <row r="45" spans="1:9" hidden="1" x14ac:dyDescent="0.25">
      <c r="A45" s="31" t="str">
        <f>Zusammenfassung!C36</f>
        <v/>
      </c>
    </row>
    <row r="46" spans="1:9" hidden="1" x14ac:dyDescent="0.25">
      <c r="A46" s="32"/>
    </row>
    <row r="47" spans="1:9" x14ac:dyDescent="0.25">
      <c r="A47" t="str">
        <f>Spezialisierungsfach!A3</f>
        <v>Das Spezialisierungsfach 1 ist Pflicht</v>
      </c>
      <c r="E47" s="31" t="str">
        <f>IFERROR(Spezialisierungsfach!M20,"")</f>
        <v/>
      </c>
    </row>
    <row r="48" spans="1:9" x14ac:dyDescent="0.25"/>
    <row r="49" x14ac:dyDescent="0.25"/>
    <row r="50" x14ac:dyDescent="0.25"/>
    <row r="51" x14ac:dyDescent="0.25"/>
    <row r="52" x14ac:dyDescent="0.25"/>
  </sheetData>
  <sheetProtection algorithmName="SHA-512" hashValue="MObP3HEFldr9z6fBa5A7vJrvYa53rLI/XLCD/4Bqm+70Wc30JZcuERV2IkKOAPydo60khW9G6fOZG29FYLcyQA==" saltValue="FWaXrgRB1T9Gn2e9Sr4K/g==" spinCount="100000" sheet="1" objects="1" scenarios="1"/>
  <mergeCells count="50">
    <mergeCell ref="G7:I7"/>
    <mergeCell ref="A4:I4"/>
    <mergeCell ref="A24:I24"/>
    <mergeCell ref="A32:C32"/>
    <mergeCell ref="A12:I12"/>
    <mergeCell ref="A13:I13"/>
    <mergeCell ref="B14:I14"/>
    <mergeCell ref="B16:I16"/>
    <mergeCell ref="B15:I15"/>
    <mergeCell ref="G8:I8"/>
    <mergeCell ref="C6:E6"/>
    <mergeCell ref="C5:E5"/>
    <mergeCell ref="F5:G5"/>
    <mergeCell ref="C19:I19"/>
    <mergeCell ref="A17:I17"/>
    <mergeCell ref="A18:I18"/>
    <mergeCell ref="A10:I10"/>
    <mergeCell ref="A33:I33"/>
    <mergeCell ref="D32:F32"/>
    <mergeCell ref="G32:I32"/>
    <mergeCell ref="A23:I23"/>
    <mergeCell ref="B26:G26"/>
    <mergeCell ref="B27:G27"/>
    <mergeCell ref="B28:G28"/>
    <mergeCell ref="B29:G29"/>
    <mergeCell ref="B25:G25"/>
    <mergeCell ref="A42:C42"/>
    <mergeCell ref="D42:F42"/>
    <mergeCell ref="G42:I42"/>
    <mergeCell ref="B35:G35"/>
    <mergeCell ref="B36:G36"/>
    <mergeCell ref="B37:G37"/>
    <mergeCell ref="B38:G38"/>
    <mergeCell ref="B39:G39"/>
    <mergeCell ref="A1:I1"/>
    <mergeCell ref="G30:I31"/>
    <mergeCell ref="D30:F31"/>
    <mergeCell ref="A30:C31"/>
    <mergeCell ref="A40:C41"/>
    <mergeCell ref="D40:F41"/>
    <mergeCell ref="G40:I41"/>
    <mergeCell ref="C20:I20"/>
    <mergeCell ref="C21:I21"/>
    <mergeCell ref="C22:I22"/>
    <mergeCell ref="A3:I3"/>
    <mergeCell ref="A2:I2"/>
    <mergeCell ref="A8:D8"/>
    <mergeCell ref="A7:D7"/>
    <mergeCell ref="E7:F7"/>
    <mergeCell ref="A34:I34"/>
  </mergeCells>
  <pageMargins left="0.25" right="0.25" top="0.75" bottom="0.75" header="0.3" footer="0.3"/>
  <pageSetup paperSize="9" orientation="portrait" r:id="rId1"/>
  <headerFooter>
    <oddHeader xml:space="preserve">&amp;L&amp;G&amp;RPO 2022    &amp;K00+000fgffgf&amp;K01+000 
</oddHeader>
    <oddFooter>&amp;L&amp;9Legende: KF - Kernfach, EF - Ergänzungsfach</oddFooter>
  </headerFooter>
  <legacyDrawingHF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36A8DD5-80B2-4020-8C89-1A1820EC1A1C}">
            <xm:f>Zusammenfassung!$L$3</xm:f>
            <x14:dxf>
              <font>
                <color rgb="FFFF0000"/>
              </font>
            </x14:dxf>
          </x14:cfRule>
          <xm:sqref>A15:A16 B20:B22 A26:A29 A36:A39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06190-71F8-496B-9C69-8374B8822A53}">
  <dimension ref="A1:I60"/>
  <sheetViews>
    <sheetView workbookViewId="0">
      <selection sqref="A1:C1"/>
    </sheetView>
  </sheetViews>
  <sheetFormatPr baseColWidth="10" defaultColWidth="0" defaultRowHeight="15" zeroHeight="1" x14ac:dyDescent="0.25"/>
  <cols>
    <col min="1" max="1" width="11.42578125" style="35" customWidth="1"/>
    <col min="2" max="2" width="13.7109375" style="36" customWidth="1"/>
    <col min="3" max="3" width="65.5703125" style="36" customWidth="1"/>
    <col min="4" max="5" width="11.42578125" style="36" hidden="1" customWidth="1"/>
    <col min="6" max="6" width="15.28515625" style="36" hidden="1" customWidth="1"/>
    <col min="7" max="9" width="11.42578125" style="36" hidden="1" customWidth="1"/>
    <col min="10" max="16384" width="11.42578125" hidden="1"/>
  </cols>
  <sheetData>
    <row r="1" spans="1:9" ht="16.5" customHeight="1" thickBot="1" x14ac:dyDescent="0.3">
      <c r="A1" s="187" t="s">
        <v>227</v>
      </c>
      <c r="B1" s="188"/>
      <c r="C1" s="188"/>
      <c r="F1" s="36" t="s">
        <v>250</v>
      </c>
      <c r="G1" s="36">
        <f>MIN(E:E)</f>
        <v>0</v>
      </c>
    </row>
    <row r="2" spans="1:9" ht="24" customHeight="1" thickBot="1" x14ac:dyDescent="0.3">
      <c r="A2" s="163" t="s">
        <v>248</v>
      </c>
      <c r="B2" s="164"/>
      <c r="C2" s="164"/>
      <c r="F2" s="36" t="s">
        <v>251</v>
      </c>
      <c r="G2" s="36">
        <f>MAX(E:E)</f>
        <v>0</v>
      </c>
    </row>
    <row r="3" spans="1:9" s="34" customFormat="1" ht="15.75" thickBot="1" x14ac:dyDescent="0.3">
      <c r="A3" s="186" t="str">
        <f>IF(G3&gt;2,"Sie dürfen nur zwei Module auswählen",IF(G3=1,"Es fehlt noch ein zweites Modul",""))</f>
        <v/>
      </c>
      <c r="B3" s="186"/>
      <c r="C3" s="186"/>
      <c r="D3" s="42"/>
      <c r="E3" s="42"/>
      <c r="F3" s="42" t="s">
        <v>256</v>
      </c>
      <c r="G3" s="42">
        <f>COUNTIF(A5:A60,"x")</f>
        <v>0</v>
      </c>
      <c r="H3" s="42"/>
      <c r="I3" s="42"/>
    </row>
    <row r="4" spans="1:9" ht="15.75" thickBot="1" x14ac:dyDescent="0.3">
      <c r="A4" s="28" t="s">
        <v>39</v>
      </c>
      <c r="B4" s="123" t="s">
        <v>2</v>
      </c>
      <c r="C4" s="124" t="s">
        <v>226</v>
      </c>
    </row>
    <row r="5" spans="1:9" ht="15.75" thickBot="1" x14ac:dyDescent="0.3">
      <c r="A5" s="86"/>
      <c r="B5" s="125">
        <v>13900</v>
      </c>
      <c r="C5" s="126" t="str">
        <f ca="1">INDEX(Modulliste!B:B,MATCH(INDIRECT(CONCATENATE("B",ROW())),Modulliste!A:A,0))</f>
        <v>Ackerschlepper und Ölhydraulik</v>
      </c>
      <c r="E5" s="36" t="str">
        <f>IF(A5="x",ROW(A5),"")</f>
        <v/>
      </c>
    </row>
    <row r="6" spans="1:9" ht="15.75" thickBot="1" x14ac:dyDescent="0.3">
      <c r="A6" s="86"/>
      <c r="B6" s="125">
        <v>17530</v>
      </c>
      <c r="C6" s="126" t="str">
        <f ca="1">INDEX(Modulliste!B:B,MATCH(INDIRECT(CONCATENATE("B",ROW())),Modulliste!A:A,0))</f>
        <v>Angewandte Informatik / Applied Computer Science</v>
      </c>
      <c r="E6" s="36" t="str">
        <f t="shared" ref="E6:E60" si="0">IF(A6="x",ROW(A6),"")</f>
        <v/>
      </c>
      <c r="G6" s="36" t="str">
        <f>IF(G3=1,"Es fehlt noch ein zweites Modul","")</f>
        <v/>
      </c>
    </row>
    <row r="7" spans="1:9" ht="15.75" thickBot="1" x14ac:dyDescent="0.3">
      <c r="A7" s="86"/>
      <c r="B7" s="125">
        <v>17570</v>
      </c>
      <c r="C7" s="126" t="str">
        <f ca="1">INDEX(Modulliste!B:B,MATCH(INDIRECT(CONCATENATE("B",ROW())),Modulliste!A:A,0))</f>
        <v>Betriebsfestigkeit in der Fahrzeugtechnik</v>
      </c>
      <c r="E7" s="36" t="str">
        <f t="shared" si="0"/>
        <v/>
      </c>
    </row>
    <row r="8" spans="1:9" ht="15.75" thickBot="1" x14ac:dyDescent="0.3">
      <c r="A8" s="86"/>
      <c r="B8" s="125">
        <v>13910</v>
      </c>
      <c r="C8" s="126" t="str">
        <f ca="1">INDEX(Modulliste!B:B,MATCH(INDIRECT(CONCATENATE("B",ROW())),Modulliste!A:A,0))</f>
        <v>Chemische Reaktionstechnik I</v>
      </c>
      <c r="E8" s="36" t="str">
        <f t="shared" si="0"/>
        <v/>
      </c>
    </row>
    <row r="9" spans="1:9" ht="15.75" thickBot="1" x14ac:dyDescent="0.3">
      <c r="A9" s="86"/>
      <c r="B9" s="125">
        <v>68610</v>
      </c>
      <c r="C9" s="126" t="str">
        <f ca="1">INDEX(Modulliste!B:B,MATCH(INDIRECT(CONCATENATE("B",ROW())),Modulliste!A:A,0))</f>
        <v>Das System Bahn: Akteure, Prozesse, Regelwerke</v>
      </c>
      <c r="E9" s="36" t="str">
        <f t="shared" si="0"/>
        <v/>
      </c>
    </row>
    <row r="10" spans="1:9" ht="15.75" thickBot="1" x14ac:dyDescent="0.3">
      <c r="A10" s="86"/>
      <c r="B10" s="125">
        <v>13920</v>
      </c>
      <c r="C10" s="126" t="str">
        <f ca="1">INDEX(Modulliste!B:B,MATCH(INDIRECT(CONCATENATE("B",ROW())),Modulliste!A:A,0))</f>
        <v>Dichtungstechnik</v>
      </c>
      <c r="E10" s="36" t="str">
        <f t="shared" si="0"/>
        <v/>
      </c>
    </row>
    <row r="11" spans="1:9" ht="15.75" thickBot="1" x14ac:dyDescent="0.3">
      <c r="A11" s="86"/>
      <c r="B11" s="125">
        <v>58270</v>
      </c>
      <c r="C11" s="126" t="str">
        <f ca="1">INDEX(Modulliste!B:B,MATCH(INDIRECT(CONCATENATE("B",ROW())),Modulliste!A:A,0))</f>
        <v>Dynamik mechanischer Systeme</v>
      </c>
      <c r="E11" s="36" t="str">
        <f t="shared" si="0"/>
        <v/>
      </c>
    </row>
    <row r="12" spans="1:9" ht="15.75" thickBot="1" x14ac:dyDescent="0.3">
      <c r="A12" s="86"/>
      <c r="B12" s="125">
        <v>11580</v>
      </c>
      <c r="C12" s="126" t="str">
        <f ca="1">INDEX(Modulliste!B:B,MATCH(INDIRECT(CONCATENATE("B",ROW())),Modulliste!A:A,0))</f>
        <v>Elektrische Maschinen I</v>
      </c>
      <c r="E12" s="36" t="str">
        <f t="shared" si="0"/>
        <v/>
      </c>
    </row>
    <row r="13" spans="1:9" ht="15.75" thickBot="1" x14ac:dyDescent="0.3">
      <c r="A13" s="86"/>
      <c r="B13" s="125">
        <v>13940</v>
      </c>
      <c r="C13" s="126" t="str">
        <f ca="1">INDEX(Modulliste!B:B,MATCH(INDIRECT(CONCATENATE("B",ROW())),Modulliste!A:A,0))</f>
        <v>Energie- und Umwelttechnik</v>
      </c>
      <c r="E13" s="36" t="str">
        <f t="shared" si="0"/>
        <v/>
      </c>
    </row>
    <row r="14" spans="1:9" ht="15.75" thickBot="1" x14ac:dyDescent="0.3">
      <c r="A14" s="86"/>
      <c r="B14" s="125">
        <v>17580</v>
      </c>
      <c r="C14" s="126" t="str">
        <f ca="1">INDEX(Modulliste!B:B,MATCH(INDIRECT(CONCATENATE("B",ROW())),Modulliste!A:A,0))</f>
        <v>Entwurf und Oberflächeneigenschaften von Straßen</v>
      </c>
      <c r="E14" s="36" t="str">
        <f t="shared" si="0"/>
        <v/>
      </c>
    </row>
    <row r="15" spans="1:9" ht="15.75" thickBot="1" x14ac:dyDescent="0.3">
      <c r="A15" s="86"/>
      <c r="B15" s="125">
        <v>16000</v>
      </c>
      <c r="C15" s="126" t="str">
        <f ca="1">INDEX(Modulliste!B:B,MATCH(INDIRECT(CONCATENATE("B",ROW())),Modulliste!A:A,0))</f>
        <v>Erneuerbare Energien</v>
      </c>
      <c r="E15" s="36" t="str">
        <f t="shared" si="0"/>
        <v/>
      </c>
    </row>
    <row r="16" spans="1:9" ht="15.75" thickBot="1" x14ac:dyDescent="0.3">
      <c r="A16" s="86"/>
      <c r="B16" s="125">
        <v>13040</v>
      </c>
      <c r="C16" s="126" t="str">
        <f ca="1">INDEX(Modulliste!B:B,MATCH(INDIRECT(CONCATENATE("B",ROW())),Modulliste!A:A,0))</f>
        <v>Fertigungsverfahren Faser- und Schichtverbundwerkstoffe</v>
      </c>
      <c r="E16" s="36" t="str">
        <f t="shared" si="0"/>
        <v/>
      </c>
    </row>
    <row r="17" spans="1:5" ht="15.75" thickBot="1" x14ac:dyDescent="0.3">
      <c r="A17" s="86"/>
      <c r="B17" s="125">
        <v>18110</v>
      </c>
      <c r="C17" s="126" t="str">
        <f ca="1">INDEX(Modulliste!B:B,MATCH(INDIRECT(CONCATENATE("B",ROW())),Modulliste!A:A,0))</f>
        <v>Festigkeitsberechnung (FEM) in der Apparatetechnik</v>
      </c>
      <c r="E17" s="36" t="str">
        <f t="shared" si="0"/>
        <v/>
      </c>
    </row>
    <row r="18" spans="1:5" ht="15.75" thickBot="1" x14ac:dyDescent="0.3">
      <c r="A18" s="86"/>
      <c r="B18" s="125">
        <v>14030</v>
      </c>
      <c r="C18" s="126" t="str">
        <f ca="1">INDEX(Modulliste!B:B,MATCH(INDIRECT(CONCATENATE("B",ROW())),Modulliste!A:A,0))</f>
        <v>Fundamentals of Microelectronics</v>
      </c>
      <c r="E18" s="36" t="str">
        <f t="shared" si="0"/>
        <v/>
      </c>
    </row>
    <row r="19" spans="1:5" ht="15.75" thickBot="1" x14ac:dyDescent="0.3">
      <c r="A19" s="86"/>
      <c r="B19" s="125">
        <v>13970</v>
      </c>
      <c r="C19" s="126" t="str">
        <f ca="1">INDEX(Modulliste!B:B,MATCH(INDIRECT(CONCATENATE("B",ROW())),Modulliste!A:A,0))</f>
        <v>Gerätekonstruktion und -fertigung in der Feinwerktechnik</v>
      </c>
      <c r="E19" s="36" t="str">
        <f t="shared" si="0"/>
        <v/>
      </c>
    </row>
    <row r="20" spans="1:5" ht="15.75" thickBot="1" x14ac:dyDescent="0.3">
      <c r="A20" s="86"/>
      <c r="B20" s="27">
        <v>78020</v>
      </c>
      <c r="C20" s="26" t="str">
        <f ca="1">INDEX(Modulliste!B:B,MATCH(INDIRECT(CONCATENATE("B",ROW())),Modulliste!A:A,0))</f>
        <v xml:space="preserve">Grundlagen der Fahrzeugantriebe </v>
      </c>
      <c r="E20" s="36" t="str">
        <f t="shared" si="0"/>
        <v/>
      </c>
    </row>
    <row r="21" spans="1:5" ht="15.75" thickBot="1" x14ac:dyDescent="0.3">
      <c r="A21" s="86"/>
      <c r="B21" s="27">
        <v>13980</v>
      </c>
      <c r="C21" s="26" t="str">
        <f ca="1">INDEX(Modulliste!B:B,MATCH(INDIRECT(CONCATENATE("B",ROW())),Modulliste!A:A,0))</f>
        <v>Grundlagen der Faser- und Textiltechnik / Textilmaschinenbau</v>
      </c>
      <c r="E21" s="36" t="str">
        <f t="shared" si="0"/>
        <v/>
      </c>
    </row>
    <row r="22" spans="1:5" ht="15.75" thickBot="1" x14ac:dyDescent="0.3">
      <c r="A22" s="86"/>
      <c r="B22" s="27">
        <v>13060</v>
      </c>
      <c r="C22" s="26" t="str">
        <f ca="1">INDEX(Modulliste!B:B,MATCH(INDIRECT(CONCATENATE("B",ROW())),Modulliste!A:A,0))</f>
        <v>Grundlagen der Heiz- und Raumlufttechnik</v>
      </c>
      <c r="E22" s="36" t="str">
        <f t="shared" si="0"/>
        <v/>
      </c>
    </row>
    <row r="23" spans="1:5" ht="15.75" thickBot="1" x14ac:dyDescent="0.3">
      <c r="A23" s="86"/>
      <c r="B23" s="27">
        <v>101280</v>
      </c>
      <c r="C23" s="26" t="str">
        <f ca="1">INDEX(Modulliste!B:B,MATCH(INDIRECT(CONCATENATE("B",ROW())),Modulliste!A:A,0))</f>
        <v>Grundlagen der Kraftfahrzeuge</v>
      </c>
      <c r="E23" s="36" t="str">
        <f t="shared" si="0"/>
        <v/>
      </c>
    </row>
    <row r="24" spans="1:5" ht="15.75" thickBot="1" x14ac:dyDescent="0.3">
      <c r="A24" s="86"/>
      <c r="B24" s="27">
        <v>14020</v>
      </c>
      <c r="C24" s="26" t="str">
        <f ca="1">INDEX(Modulliste!B:B,MATCH(INDIRECT(CONCATENATE("B",ROW())),Modulliste!A:A,0))</f>
        <v>Grundlagen der Mechanischen Verfahrenstechnik</v>
      </c>
      <c r="E24" s="36" t="str">
        <f t="shared" si="0"/>
        <v/>
      </c>
    </row>
    <row r="25" spans="1:5" ht="15.75" thickBot="1" x14ac:dyDescent="0.3">
      <c r="A25" s="86"/>
      <c r="B25" s="27">
        <v>13540</v>
      </c>
      <c r="C25" s="26" t="str">
        <f ca="1">INDEX(Modulliste!B:B,MATCH(INDIRECT(CONCATENATE("B",ROW())),Modulliste!A:A,0))</f>
        <v>Grundlagen der Mikro- und Mikrosystemtechnik</v>
      </c>
      <c r="E25" s="36" t="str">
        <f t="shared" si="0"/>
        <v/>
      </c>
    </row>
    <row r="26" spans="1:5" ht="15.75" thickBot="1" x14ac:dyDescent="0.3">
      <c r="A26" s="86"/>
      <c r="B26" s="27">
        <v>14060</v>
      </c>
      <c r="C26" s="26" t="str">
        <f ca="1">INDEX(Modulliste!B:B,MATCH(INDIRECT(CONCATENATE("B",ROW())),Modulliste!A:A,0))</f>
        <v>Grundlagen der Technischen Optik</v>
      </c>
      <c r="E26" s="36" t="str">
        <f t="shared" si="0"/>
        <v/>
      </c>
    </row>
    <row r="27" spans="1:5" ht="15.75" thickBot="1" x14ac:dyDescent="0.3">
      <c r="A27" s="86"/>
      <c r="B27" s="27">
        <v>14070</v>
      </c>
      <c r="C27" s="26" t="str">
        <f ca="1">INDEX(Modulliste!B:B,MATCH(INDIRECT(CONCATENATE("B",ROW())),Modulliste!A:A,0))</f>
        <v>Grundlagen der Thermischen Strömungsmaschinen</v>
      </c>
      <c r="E27" s="36" t="str">
        <f t="shared" si="0"/>
        <v/>
      </c>
    </row>
    <row r="28" spans="1:5" ht="15.75" thickBot="1" x14ac:dyDescent="0.3">
      <c r="A28" s="86"/>
      <c r="B28" s="27">
        <v>13550</v>
      </c>
      <c r="C28" s="26" t="str">
        <f ca="1">INDEX(Modulliste!B:B,MATCH(INDIRECT(CONCATENATE("B",ROW())),Modulliste!A:A,0))</f>
        <v>Grundlagen der Umformtechnik</v>
      </c>
      <c r="E28" s="36" t="str">
        <f t="shared" si="0"/>
        <v/>
      </c>
    </row>
    <row r="29" spans="1:5" ht="15.75" thickBot="1" x14ac:dyDescent="0.3">
      <c r="A29" s="86"/>
      <c r="B29" s="27">
        <v>13830</v>
      </c>
      <c r="C29" s="26" t="str">
        <f ca="1">INDEX(Modulliste!B:B,MATCH(INDIRECT(CONCATENATE("B",ROW())),Modulliste!A:A,0))</f>
        <v>Grundlagen der Wärmeübertragung</v>
      </c>
      <c r="E29" s="36" t="str">
        <f t="shared" si="0"/>
        <v/>
      </c>
    </row>
    <row r="30" spans="1:5" ht="15.75" thickBot="1" x14ac:dyDescent="0.3">
      <c r="A30" s="86"/>
      <c r="B30" s="27">
        <v>67290</v>
      </c>
      <c r="C30" s="26" t="str">
        <f ca="1">INDEX(Modulliste!B:B,MATCH(INDIRECT(CONCATENATE("B",ROW())),Modulliste!A:A,0))</f>
        <v>Grundlagen Schienenfahrzeugtechnik und -betrieb</v>
      </c>
      <c r="E30" s="36" t="str">
        <f t="shared" si="0"/>
        <v/>
      </c>
    </row>
    <row r="31" spans="1:5" ht="15.75" thickBot="1" x14ac:dyDescent="0.3">
      <c r="A31" s="86"/>
      <c r="B31" s="27">
        <v>14090</v>
      </c>
      <c r="C31" s="26" t="str">
        <f ca="1">INDEX(Modulliste!B:B,MATCH(INDIRECT(CONCATENATE("B",ROW())),Modulliste!A:A,0))</f>
        <v>Grundlagen Technischer Verbrennungsvorgänge I + II</v>
      </c>
      <c r="E31" s="36" t="str">
        <f t="shared" si="0"/>
        <v/>
      </c>
    </row>
    <row r="32" spans="1:5" ht="15.75" thickBot="1" x14ac:dyDescent="0.3">
      <c r="A32" s="86"/>
      <c r="B32" s="27">
        <v>14100</v>
      </c>
      <c r="C32" s="26" t="str">
        <f ca="1">INDEX(Modulliste!B:B,MATCH(INDIRECT(CONCATENATE("B",ROW())),Modulliste!A:A,0))</f>
        <v>Hydraulische Strömungsmaschinen in der Wasserkraft</v>
      </c>
      <c r="E32" s="36" t="str">
        <f t="shared" si="0"/>
        <v/>
      </c>
    </row>
    <row r="33" spans="1:5" ht="15.75" thickBot="1" x14ac:dyDescent="0.3">
      <c r="A33" s="86"/>
      <c r="B33" s="27">
        <v>103800</v>
      </c>
      <c r="C33" s="26" t="str">
        <f ca="1">INDEX(Modulliste!B:B,MATCH(INDIRECT(CONCATENATE("B",ROW())),Modulliste!A:A,0))</f>
        <v>Interior Design Engineering</v>
      </c>
      <c r="E33" s="36" t="str">
        <f t="shared" si="0"/>
        <v/>
      </c>
    </row>
    <row r="34" spans="1:5" ht="15.75" thickBot="1" x14ac:dyDescent="0.3">
      <c r="A34" s="86"/>
      <c r="B34" s="27">
        <v>14110</v>
      </c>
      <c r="C34" s="26" t="str">
        <f ca="1">INDEX(Modulliste!B:B,MATCH(INDIRECT(CONCATENATE("B",ROW())),Modulliste!A:A,0))</f>
        <v>Kerntechnische Anlagen zur Energieerzeugung</v>
      </c>
      <c r="E34" s="36" t="str">
        <f t="shared" si="0"/>
        <v/>
      </c>
    </row>
    <row r="35" spans="1:5" ht="15.75" thickBot="1" x14ac:dyDescent="0.3">
      <c r="A35" s="86"/>
      <c r="B35" s="27">
        <v>107080</v>
      </c>
      <c r="C35" s="26" t="str">
        <f ca="1">INDEX(Modulliste!B:B,MATCH(INDIRECT(CONCATENATE("B",ROW())),Modulliste!A:A,0))</f>
        <v>Hochleistungsgetriebe für mobile und stationäre Anwendungen</v>
      </c>
      <c r="E35" s="36" t="str">
        <f t="shared" si="0"/>
        <v/>
      </c>
    </row>
    <row r="36" spans="1:5" ht="15.75" thickBot="1" x14ac:dyDescent="0.3">
      <c r="A36" s="86"/>
      <c r="B36" s="27">
        <v>14130</v>
      </c>
      <c r="C36" s="26" t="str">
        <f ca="1">INDEX(Modulliste!B:B,MATCH(INDIRECT(CONCATENATE("B",ROW())),Modulliste!A:A,0))</f>
        <v>Kraftfahrzeugmechatronik I + II</v>
      </c>
      <c r="E36" s="36" t="str">
        <f t="shared" si="0"/>
        <v/>
      </c>
    </row>
    <row r="37" spans="1:5" ht="15.75" thickBot="1" x14ac:dyDescent="0.3">
      <c r="A37" s="86"/>
      <c r="B37" s="27">
        <v>14010</v>
      </c>
      <c r="C37" s="26" t="str">
        <f ca="1">INDEX(Modulliste!B:B,MATCH(INDIRECT(CONCATENATE("B",ROW())),Modulliste!A:A,0))</f>
        <v>Kunststofftechnik - Grundlagen und Einführung</v>
      </c>
      <c r="E37" s="36" t="str">
        <f t="shared" si="0"/>
        <v/>
      </c>
    </row>
    <row r="38" spans="1:5" ht="15.75" thickBot="1" x14ac:dyDescent="0.3">
      <c r="A38" s="86"/>
      <c r="B38" s="27">
        <v>14150</v>
      </c>
      <c r="C38" s="26" t="str">
        <f ca="1">INDEX(Modulliste!B:B,MATCH(INDIRECT(CONCATENATE("B",ROW())),Modulliste!A:A,0))</f>
        <v>Leichtbau</v>
      </c>
      <c r="E38" s="36" t="str">
        <f t="shared" si="0"/>
        <v/>
      </c>
    </row>
    <row r="39" spans="1:5" ht="15.75" thickBot="1" x14ac:dyDescent="0.3">
      <c r="A39" s="86"/>
      <c r="B39" s="27">
        <v>16260</v>
      </c>
      <c r="C39" s="26" t="str">
        <f ca="1">INDEX(Modulliste!B:B,MATCH(INDIRECT(CONCATENATE("B",ROW())),Modulliste!A:A,0))</f>
        <v>Maschinendynamik</v>
      </c>
      <c r="E39" s="36" t="str">
        <f t="shared" si="0"/>
        <v/>
      </c>
    </row>
    <row r="40" spans="1:5" ht="15.75" thickBot="1" x14ac:dyDescent="0.3">
      <c r="A40" s="86"/>
      <c r="B40" s="27">
        <v>14140</v>
      </c>
      <c r="C40" s="26" t="str">
        <f ca="1">INDEX(Modulliste!B:B,MATCH(INDIRECT(CONCATENATE("B",ROW())),Modulliste!A:A,0))</f>
        <v>Materialbearbeitung mit Lasern</v>
      </c>
      <c r="E40" s="36" t="str">
        <f t="shared" si="0"/>
        <v/>
      </c>
    </row>
    <row r="41" spans="1:5" ht="15.75" thickBot="1" x14ac:dyDescent="0.3">
      <c r="A41" s="86"/>
      <c r="B41" s="27">
        <v>102720</v>
      </c>
      <c r="C41" s="26" t="str">
        <f ca="1">INDEX(Modulliste!B:B,MATCH(INDIRECT(CONCATENATE("B",ROW())),Modulliste!A:A,0))</f>
        <v>Materialfluss- und Fördertechnik</v>
      </c>
      <c r="E41" s="36" t="str">
        <f t="shared" si="0"/>
        <v/>
      </c>
    </row>
    <row r="42" spans="1:5" ht="15.75" thickBot="1" x14ac:dyDescent="0.3">
      <c r="A42" s="86"/>
      <c r="B42" s="27">
        <v>14160</v>
      </c>
      <c r="C42" s="26" t="str">
        <f ca="1">INDEX(Modulliste!B:B,MATCH(INDIRECT(CONCATENATE("B",ROW())),Modulliste!A:A,0))</f>
        <v>Methodische Produktentwicklung</v>
      </c>
      <c r="E42" s="36" t="str">
        <f t="shared" si="0"/>
        <v/>
      </c>
    </row>
    <row r="43" spans="1:5" ht="15.75" thickBot="1" x14ac:dyDescent="0.3">
      <c r="A43" s="86"/>
      <c r="B43" s="27">
        <v>13880</v>
      </c>
      <c r="C43" s="26" t="str">
        <f ca="1">INDEX(Modulliste!B:B,MATCH(INDIRECT(CONCATENATE("B",ROW())),Modulliste!A:A,0))</f>
        <v>Modellierung, Simulation und Optimierungsverfahren</v>
      </c>
      <c r="E43" s="36" t="str">
        <f t="shared" si="0"/>
        <v/>
      </c>
    </row>
    <row r="44" spans="1:5" ht="15.75" thickBot="1" x14ac:dyDescent="0.3">
      <c r="A44" s="86"/>
      <c r="B44" s="27">
        <v>12250</v>
      </c>
      <c r="C44" s="26" t="str">
        <f ca="1">INDEX(Modulliste!B:B,MATCH(INDIRECT(CONCATENATE("B",ROW())),Modulliste!A:A,0))</f>
        <v>Numerische Methoden der Dynamik</v>
      </c>
      <c r="E44" s="36" t="str">
        <f t="shared" si="0"/>
        <v/>
      </c>
    </row>
    <row r="45" spans="1:5" ht="15.75" thickBot="1" x14ac:dyDescent="0.3">
      <c r="A45" s="86"/>
      <c r="B45" s="27">
        <v>75330</v>
      </c>
      <c r="C45" s="26" t="str">
        <f ca="1">INDEX(Modulliste!B:B,MATCH(INDIRECT(CONCATENATE("B",ROW())),Modulliste!A:A,0))</f>
        <v>Numerische Strömungsmechanik mit Optimierungsanwendungen 1</v>
      </c>
      <c r="E45" s="36" t="str">
        <f t="shared" si="0"/>
        <v/>
      </c>
    </row>
    <row r="46" spans="1:5" ht="15.75" thickBot="1" x14ac:dyDescent="0.3">
      <c r="A46" s="86"/>
      <c r="B46" s="27">
        <v>14180</v>
      </c>
      <c r="C46" s="26" t="str">
        <f ca="1">INDEX(Modulliste!B:B,MATCH(INDIRECT(CONCATENATE("B",ROW())),Modulliste!A:A,0))</f>
        <v>Numerische Strömungssimulation</v>
      </c>
      <c r="E46" s="36" t="str">
        <f t="shared" si="0"/>
        <v/>
      </c>
    </row>
    <row r="47" spans="1:5" ht="15.75" thickBot="1" x14ac:dyDescent="0.3">
      <c r="A47" s="86"/>
      <c r="B47" s="27">
        <v>71880</v>
      </c>
      <c r="C47" s="26" t="str">
        <f ca="1">INDEX(Modulliste!B:B,MATCH(INDIRECT(CONCATENATE("B",ROW())),Modulliste!A:A,0))</f>
        <v>Produktionstechnische Informationstechnologien</v>
      </c>
      <c r="E47" s="36" t="str">
        <f t="shared" si="0"/>
        <v/>
      </c>
    </row>
    <row r="48" spans="1:5" ht="15.75" thickBot="1" x14ac:dyDescent="0.3">
      <c r="A48" s="86"/>
      <c r="B48" s="27">
        <v>14190</v>
      </c>
      <c r="C48" s="26" t="str">
        <f ca="1">INDEX(Modulliste!B:B,MATCH(INDIRECT(CONCATENATE("B",ROW())),Modulliste!A:A,0))</f>
        <v>Regelungstechnik</v>
      </c>
      <c r="E48" s="36" t="str">
        <f t="shared" si="0"/>
        <v/>
      </c>
    </row>
    <row r="49" spans="1:5" ht="15.75" thickBot="1" x14ac:dyDescent="0.3">
      <c r="A49" s="86"/>
      <c r="B49" s="27">
        <v>15600</v>
      </c>
      <c r="C49" s="26" t="str">
        <f ca="1">INDEX(Modulliste!B:B,MATCH(INDIRECT(CONCATENATE("B",ROW())),Modulliste!A:A,0))</f>
        <v>Schwingungen und Modalanalyse</v>
      </c>
      <c r="E49" s="36" t="str">
        <f t="shared" si="0"/>
        <v/>
      </c>
    </row>
    <row r="50" spans="1:5" ht="15.75" thickBot="1" x14ac:dyDescent="0.3">
      <c r="A50" s="86"/>
      <c r="B50" s="27">
        <v>12270</v>
      </c>
      <c r="C50" s="26" t="str">
        <f ca="1">INDEX(Modulliste!B:B,MATCH(INDIRECT(CONCATENATE("B",ROW())),Modulliste!A:A,0))</f>
        <v>Simulationstechnik</v>
      </c>
      <c r="E50" s="36" t="str">
        <f t="shared" si="0"/>
        <v/>
      </c>
    </row>
    <row r="51" spans="1:5" ht="15.75" thickBot="1" x14ac:dyDescent="0.3">
      <c r="A51" s="86"/>
      <c r="B51" s="27">
        <v>14230</v>
      </c>
      <c r="C51" s="26" t="str">
        <f ca="1">INDEX(Modulliste!B:B,MATCH(INDIRECT(CONCATENATE("B",ROW())),Modulliste!A:A,0))</f>
        <v>Steuerungstechnik der Werkzeugmaschinen und Industrieroboter</v>
      </c>
      <c r="E51" s="36" t="str">
        <f t="shared" si="0"/>
        <v/>
      </c>
    </row>
    <row r="52" spans="1:5" ht="15.75" thickBot="1" x14ac:dyDescent="0.3">
      <c r="A52" s="86"/>
      <c r="B52" s="27">
        <v>14240</v>
      </c>
      <c r="C52" s="26" t="str">
        <f ca="1">INDEX(Modulliste!B:B,MATCH(INDIRECT(CONCATENATE("B",ROW())),Modulliste!A:A,0))</f>
        <v>Technisches Design</v>
      </c>
      <c r="E52" s="36" t="str">
        <f t="shared" si="0"/>
        <v/>
      </c>
    </row>
    <row r="53" spans="1:5" ht="15.75" thickBot="1" x14ac:dyDescent="0.3">
      <c r="A53" s="86"/>
      <c r="B53" s="27">
        <v>13330</v>
      </c>
      <c r="C53" s="26" t="str">
        <f ca="1">INDEX(Modulliste!B:B,MATCH(INDIRECT(CONCATENATE("B",ROW())),Modulliste!A:A,0))</f>
        <v>Technologiemanagement</v>
      </c>
      <c r="E53" s="36" t="str">
        <f t="shared" si="0"/>
        <v/>
      </c>
    </row>
    <row r="54" spans="1:5" ht="15.75" thickBot="1" x14ac:dyDescent="0.3">
      <c r="A54" s="86"/>
      <c r="B54" s="27">
        <v>24590</v>
      </c>
      <c r="C54" s="26" t="str">
        <f ca="1">INDEX(Modulliste!B:B,MATCH(INDIRECT(CONCATENATE("B",ROW())),Modulliste!A:A,0))</f>
        <v>Thermische Verfahrenstechnik I</v>
      </c>
      <c r="E54" s="36" t="str">
        <f t="shared" si="0"/>
        <v/>
      </c>
    </row>
    <row r="55" spans="1:5" ht="15.75" thickBot="1" x14ac:dyDescent="0.3">
      <c r="A55" s="86"/>
      <c r="B55" s="27">
        <v>10670</v>
      </c>
      <c r="C55" s="26" t="str">
        <f ca="1">INDEX(Modulliste!B:B,MATCH(INDIRECT(CONCATENATE("B",ROW())),Modulliste!A:A,0))</f>
        <v>Verkehrsplanung und Verkehrstechnik</v>
      </c>
      <c r="E55" s="36" t="str">
        <f t="shared" si="0"/>
        <v/>
      </c>
    </row>
    <row r="56" spans="1:5" ht="15.75" thickBot="1" x14ac:dyDescent="0.3">
      <c r="A56" s="86"/>
      <c r="B56" s="27">
        <v>14280</v>
      </c>
      <c r="C56" s="26" t="str">
        <f ca="1">INDEX(Modulliste!B:B,MATCH(INDIRECT(CONCATENATE("B",ROW())),Modulliste!A:A,0))</f>
        <v>Werkstofftechnik und -simulation</v>
      </c>
      <c r="E56" s="36" t="str">
        <f t="shared" si="0"/>
        <v/>
      </c>
    </row>
    <row r="57" spans="1:5" ht="15.75" thickBot="1" x14ac:dyDescent="0.3">
      <c r="A57" s="86"/>
      <c r="B57" s="27">
        <v>13570</v>
      </c>
      <c r="C57" s="26" t="str">
        <f ca="1">INDEX(Modulliste!B:B,MATCH(INDIRECT(CONCATENATE("B",ROW())),Modulliste!A:A,0))</f>
        <v>Werkzeugmaschinen und Produktionssysteme</v>
      </c>
      <c r="E57" s="36" t="str">
        <f t="shared" si="0"/>
        <v/>
      </c>
    </row>
    <row r="58" spans="1:5" ht="15.75" thickBot="1" x14ac:dyDescent="0.3">
      <c r="A58" s="86"/>
      <c r="B58" s="27">
        <v>32280</v>
      </c>
      <c r="C58" s="26" t="str">
        <f ca="1">INDEX(Modulliste!B:B,MATCH(INDIRECT(CONCATENATE("B",ROW())),Modulliste!A:A,0))</f>
        <v>Wirtschaftskybernetik I</v>
      </c>
      <c r="E58" s="36" t="str">
        <f t="shared" si="0"/>
        <v/>
      </c>
    </row>
    <row r="59" spans="1:5" ht="15.75" thickBot="1" x14ac:dyDescent="0.3">
      <c r="A59" s="86"/>
      <c r="B59" s="27">
        <v>13580</v>
      </c>
      <c r="C59" s="26" t="str">
        <f ca="1">INDEX(Modulliste!B:B,MATCH(INDIRECT(CONCATENATE("B",ROW())),Modulliste!A:A,0))</f>
        <v>Wissens- und Informationsmanagement in der Produktion</v>
      </c>
      <c r="E59" s="36" t="str">
        <f t="shared" si="0"/>
        <v/>
      </c>
    </row>
    <row r="60" spans="1:5" ht="17.25" customHeight="1" thickBot="1" x14ac:dyDescent="0.3">
      <c r="A60" s="86"/>
      <c r="B60" s="27">
        <v>14310</v>
      </c>
      <c r="C60" s="26" t="str">
        <f ca="1">INDEX(Modulliste!B:B,MATCH(INDIRECT(CONCATENATE("B",ROW())),Modulliste!A:A,0))</f>
        <v>Zuverlässigkeitstechnik</v>
      </c>
      <c r="E60" s="36" t="str">
        <f t="shared" si="0"/>
        <v/>
      </c>
    </row>
  </sheetData>
  <sheetProtection algorithmName="SHA-512" hashValue="XbOb05om2nw3lZXCeAZ9sQuJGVibjJswyRvfPI62zCW070l3zqyD673oDdJ4sePqCa+MXvy577b3L5rFG6inTg==" saltValue="dKsrn9NIj2gV6Gu1mM2dHg==" spinCount="100000" sheet="1" objects="1" scenarios="1"/>
  <mergeCells count="3">
    <mergeCell ref="A3:C3"/>
    <mergeCell ref="A1:C1"/>
    <mergeCell ref="A2:C2"/>
  </mergeCells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CD19BDC-CA3F-4818-934E-85A7F7C83D2C}">
          <x14:formula1>
            <xm:f>Zusammenfassung!$J$3:$J$4</xm:f>
          </x14:formula1>
          <xm:sqref>A5:A60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1A8B1-BB3A-475A-A59C-1221F1663896}">
  <dimension ref="A1:H19"/>
  <sheetViews>
    <sheetView zoomScale="98" zoomScaleNormal="98" workbookViewId="0">
      <selection sqref="A1:C1"/>
    </sheetView>
  </sheetViews>
  <sheetFormatPr baseColWidth="10" defaultColWidth="0" defaultRowHeight="15" zeroHeight="1" x14ac:dyDescent="0.25"/>
  <cols>
    <col min="1" max="1" width="9" style="40" customWidth="1"/>
    <col min="2" max="2" width="13.140625" style="40" customWidth="1"/>
    <col min="3" max="3" width="72.85546875" style="41" customWidth="1"/>
    <col min="4" max="4" width="5.7109375" style="36" hidden="1" customWidth="1"/>
    <col min="5" max="6" width="11.42578125" style="39" hidden="1" customWidth="1"/>
    <col min="7" max="8" width="11.42578125" style="36" hidden="1" customWidth="1"/>
    <col min="9" max="16384" width="11.42578125" hidden="1"/>
  </cols>
  <sheetData>
    <row r="1" spans="1:8" ht="15.75" thickBot="1" x14ac:dyDescent="0.3">
      <c r="A1" s="187" t="s">
        <v>255</v>
      </c>
      <c r="B1" s="188"/>
      <c r="C1" s="188"/>
      <c r="D1"/>
      <c r="E1"/>
      <c r="F1"/>
      <c r="G1"/>
      <c r="H1"/>
    </row>
    <row r="2" spans="1:8" ht="15.75" customHeight="1" thickBot="1" x14ac:dyDescent="0.3">
      <c r="A2" s="191" t="s">
        <v>258</v>
      </c>
      <c r="B2" s="192"/>
      <c r="C2" s="193"/>
      <c r="D2"/>
      <c r="E2"/>
      <c r="F2"/>
      <c r="G2"/>
      <c r="H2"/>
    </row>
    <row r="3" spans="1:8" ht="15.75" customHeight="1" thickBot="1" x14ac:dyDescent="0.3">
      <c r="A3" s="186" t="str">
        <f>IF(F3=4,"Wahlpflichtmodule: Sie dürfen nur pro  Gruppen ein Modul auswählen","")</f>
        <v/>
      </c>
      <c r="B3" s="186"/>
      <c r="C3" s="186"/>
      <c r="F3" s="39">
        <f>COUNT(E5:E21)</f>
        <v>0</v>
      </c>
    </row>
    <row r="4" spans="1:8" ht="15.75" customHeight="1" thickBot="1" x14ac:dyDescent="0.3">
      <c r="A4" s="163" t="s">
        <v>4</v>
      </c>
      <c r="B4" s="164"/>
      <c r="C4" s="164"/>
    </row>
    <row r="5" spans="1:8" ht="15.75" customHeight="1" thickBot="1" x14ac:dyDescent="0.3">
      <c r="A5" s="12" t="s">
        <v>39</v>
      </c>
      <c r="B5" s="13" t="s">
        <v>2</v>
      </c>
      <c r="C5" s="14" t="s">
        <v>3</v>
      </c>
    </row>
    <row r="6" spans="1:8" ht="15.75" customHeight="1" thickBot="1" x14ac:dyDescent="0.3">
      <c r="A6" s="86"/>
      <c r="B6" s="106">
        <v>32300</v>
      </c>
      <c r="C6" s="22" t="str">
        <f ca="1">INDEX(Modulliste!B:B,MATCH(INDIRECT(CONCATENATE("B",ROW())),Modulliste!A:A,0))</f>
        <v>Informationstechnik und Wissensverarbeitung in der Produktentwicklung</v>
      </c>
      <c r="E6" s="39" t="str">
        <f>IF(A6="x",1,"")</f>
        <v/>
      </c>
    </row>
    <row r="7" spans="1:8" ht="15.75" customHeight="1" thickBot="1" x14ac:dyDescent="0.3">
      <c r="A7" s="86"/>
      <c r="B7" s="106">
        <v>34120</v>
      </c>
      <c r="C7" s="22" t="str">
        <f ca="1">INDEX(Modulliste!B:B,MATCH(INDIRECT(CONCATENATE("B",ROW())),Modulliste!A:A,0))</f>
        <v>Virtuelles Engineering</v>
      </c>
      <c r="E7" s="39" t="str">
        <f>IF(A7="x",1,"")</f>
        <v/>
      </c>
    </row>
    <row r="8" spans="1:8" ht="15.75" customHeight="1" thickBot="1" x14ac:dyDescent="0.3">
      <c r="A8" s="163" t="s">
        <v>5</v>
      </c>
      <c r="B8" s="164"/>
      <c r="C8" s="164"/>
    </row>
    <row r="9" spans="1:8" ht="15.75" customHeight="1" thickBot="1" x14ac:dyDescent="0.3">
      <c r="A9" s="12" t="s">
        <v>39</v>
      </c>
      <c r="B9" s="13" t="s">
        <v>2</v>
      </c>
      <c r="C9" s="14" t="s">
        <v>3</v>
      </c>
    </row>
    <row r="10" spans="1:8" ht="15.75" customHeight="1" thickBot="1" x14ac:dyDescent="0.3">
      <c r="A10" s="86"/>
      <c r="B10" s="106">
        <v>14160</v>
      </c>
      <c r="C10" s="104" t="str">
        <f ca="1">INDEX(Modulliste!B:B,MATCH(INDIRECT(CONCATENATE("B",ROW())),Modulliste!A:A,0))</f>
        <v>Methodische Produktentwicklung</v>
      </c>
      <c r="E10" s="39" t="str">
        <f>IF(A10="x",2,"")</f>
        <v/>
      </c>
    </row>
    <row r="11" spans="1:8" ht="15.75" customHeight="1" thickBot="1" x14ac:dyDescent="0.3">
      <c r="A11" s="86"/>
      <c r="B11" s="106">
        <v>14310</v>
      </c>
      <c r="C11" s="46" t="str">
        <f ca="1">INDEX(Modulliste!B:B,MATCH(INDIRECT(CONCATENATE("B",ROW())),Modulliste!A:A,0))</f>
        <v>Zuverlässigkeitstechnik</v>
      </c>
      <c r="E11" s="39" t="str">
        <f>IF(A11="x",2,"")</f>
        <v/>
      </c>
    </row>
    <row r="12" spans="1:8" ht="15.75" customHeight="1" thickBot="1" x14ac:dyDescent="0.3">
      <c r="A12" s="86"/>
      <c r="B12" s="106">
        <v>14240</v>
      </c>
      <c r="C12" s="46" t="str">
        <f ca="1">INDEX(Modulliste!B:B,MATCH(INDIRECT(CONCATENATE("B",ROW())),Modulliste!A:A,0))</f>
        <v>Technisches Design</v>
      </c>
      <c r="E12" s="39" t="str">
        <f>IF(A12="x",2,"")</f>
        <v/>
      </c>
    </row>
    <row r="13" spans="1:8" ht="30.75" customHeight="1" thickBot="1" x14ac:dyDescent="0.3">
      <c r="A13" s="189" t="s">
        <v>278</v>
      </c>
      <c r="B13" s="190"/>
      <c r="C13" s="190"/>
    </row>
    <row r="14" spans="1:8" ht="15.75" customHeight="1" thickBot="1" x14ac:dyDescent="0.3">
      <c r="A14" s="163" t="s">
        <v>7</v>
      </c>
      <c r="B14" s="164"/>
      <c r="C14" s="164"/>
    </row>
    <row r="15" spans="1:8" ht="15.75" customHeight="1" thickBot="1" x14ac:dyDescent="0.3">
      <c r="A15" s="12" t="s">
        <v>39</v>
      </c>
      <c r="B15" s="13" t="s">
        <v>2</v>
      </c>
      <c r="C15" s="14" t="s">
        <v>3</v>
      </c>
    </row>
    <row r="16" spans="1:8" ht="15.75" customHeight="1" thickBot="1" x14ac:dyDescent="0.3">
      <c r="A16" s="86"/>
      <c r="B16" s="106">
        <v>30390</v>
      </c>
      <c r="C16" s="104" t="str">
        <f ca="1">INDEX(Modulliste!B:B,MATCH(INDIRECT(CONCATENATE("B",ROW())),Modulliste!A:A,0))</f>
        <v>Festigkeitslehre I </v>
      </c>
      <c r="E16" s="39" t="str">
        <f t="shared" ref="E16:E17" si="0">IF(A16="x",3,"")</f>
        <v/>
      </c>
    </row>
    <row r="17" spans="1:5" ht="15.75" customHeight="1" thickBot="1" x14ac:dyDescent="0.3">
      <c r="A17" s="86"/>
      <c r="B17" s="106">
        <v>30400</v>
      </c>
      <c r="C17" s="22" t="str">
        <f ca="1">INDEX(Modulliste!B:B,MATCH(INDIRECT(CONCATENATE("B",ROW())),Modulliste!A:A,0))</f>
        <v>Methoden der Werkstoffsimulation</v>
      </c>
      <c r="E17" s="39" t="str">
        <f t="shared" si="0"/>
        <v/>
      </c>
    </row>
    <row r="18" spans="1:5" hidden="1" x14ac:dyDescent="0.25"/>
    <row r="19" spans="1:5" hidden="1" x14ac:dyDescent="0.25"/>
  </sheetData>
  <sheetProtection algorithmName="SHA-512" hashValue="/UbQQW1fkC56Zq5G5h0XsAD2r1/nTxXvyrH6MaEFNCsmZrbf7eFEPYB2hBUczB1uvIxcUMpujkxdoSGg2M3jtQ==" saltValue="1aBfaKnMmq7cg4fwVyNpjQ==" spinCount="100000" sheet="1" objects="1" scenarios="1"/>
  <mergeCells count="7">
    <mergeCell ref="A13:C13"/>
    <mergeCell ref="A1:C1"/>
    <mergeCell ref="A4:C4"/>
    <mergeCell ref="A8:C8"/>
    <mergeCell ref="A14:C14"/>
    <mergeCell ref="A2:C2"/>
    <mergeCell ref="A3:C3"/>
  </mergeCells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1F95BB7-69D7-444A-BEAB-50AC56369BA6}">
          <x14:formula1>
            <xm:f>Zusammenfassung!$J$3:$J$4</xm:f>
          </x14:formula1>
          <xm:sqref>A6:A7 A16:A17 A10:A12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A5ED3-D4DE-4FC9-BCBC-1B1E873EA40D}">
  <dimension ref="A1:N230"/>
  <sheetViews>
    <sheetView workbookViewId="0">
      <selection sqref="A1:D1"/>
    </sheetView>
  </sheetViews>
  <sheetFormatPr baseColWidth="10" defaultColWidth="0" defaultRowHeight="15" zeroHeight="1" x14ac:dyDescent="0.25"/>
  <cols>
    <col min="1" max="1" width="11.42578125" style="78" customWidth="1"/>
    <col min="2" max="2" width="14.42578125" style="38" bestFit="1" customWidth="1"/>
    <col min="3" max="3" width="81.7109375" style="36" customWidth="1"/>
    <col min="4" max="4" width="11.42578125" style="35" customWidth="1"/>
    <col min="5" max="5" width="0" style="36" hidden="1" customWidth="1"/>
    <col min="6" max="7" width="0" style="37" hidden="1" customWidth="1"/>
    <col min="8" max="14" width="0" style="36" hidden="1" customWidth="1"/>
    <col min="15" max="16384" width="11.42578125" hidden="1"/>
  </cols>
  <sheetData>
    <row r="1" spans="1:14" ht="15.75" customHeight="1" thickBot="1" x14ac:dyDescent="0.3">
      <c r="A1" s="209" t="s">
        <v>257</v>
      </c>
      <c r="B1" s="210"/>
      <c r="C1" s="210"/>
      <c r="D1" s="210"/>
    </row>
    <row r="2" spans="1:14" ht="34.5" customHeight="1" thickBot="1" x14ac:dyDescent="0.3">
      <c r="A2" s="203" t="s">
        <v>261</v>
      </c>
      <c r="B2" s="204"/>
      <c r="C2" s="204"/>
      <c r="D2" s="204"/>
      <c r="H2" s="41">
        <f>SUM(H6:H219)</f>
        <v>0</v>
      </c>
      <c r="I2" s="33"/>
      <c r="J2" s="36" t="s">
        <v>39</v>
      </c>
      <c r="L2" s="36" t="s">
        <v>79</v>
      </c>
      <c r="N2" s="3" t="str">
        <f>IF(I6=1,"","Das Spezialisierungsfach 1 ist Pflicht")</f>
        <v>Das Spezialisierungsfach 1 ist Pflicht</v>
      </c>
    </row>
    <row r="3" spans="1:14" ht="15.75" customHeight="1" x14ac:dyDescent="0.25">
      <c r="A3" s="202" t="str">
        <f>IF(I6=1,"","Das Spezialisierungsfach 1 ist Pflicht")</f>
        <v>Das Spezialisierungsfach 1 ist Pflicht</v>
      </c>
      <c r="B3" s="202"/>
      <c r="C3" s="202"/>
      <c r="D3" s="202"/>
      <c r="H3" s="41"/>
      <c r="I3" s="82"/>
      <c r="N3" s="3"/>
    </row>
    <row r="4" spans="1:14" ht="15.75" customHeight="1" x14ac:dyDescent="0.25">
      <c r="A4" s="214" t="str">
        <f>IF(H2&gt;2,"Es dürfen nur 2 Spezialisierungsfächer gewählt werden","")</f>
        <v/>
      </c>
      <c r="B4" s="214"/>
      <c r="C4" s="214"/>
      <c r="D4" s="214"/>
      <c r="E4" s="41"/>
      <c r="F4" s="43"/>
      <c r="G4" s="43"/>
      <c r="I4" s="41"/>
      <c r="J4" s="41"/>
      <c r="K4" s="41"/>
      <c r="M4" s="41"/>
      <c r="N4" s="41"/>
    </row>
    <row r="5" spans="1:14" ht="15.75" customHeight="1" x14ac:dyDescent="0.25">
      <c r="A5" s="209" t="s">
        <v>260</v>
      </c>
      <c r="B5" s="210"/>
      <c r="C5" s="210"/>
      <c r="D5" s="210"/>
      <c r="E5" s="41"/>
      <c r="F5" s="43"/>
      <c r="G5" s="43"/>
      <c r="I5" s="41"/>
      <c r="J5" s="41"/>
      <c r="K5" s="41"/>
      <c r="L5" s="41" t="s">
        <v>80</v>
      </c>
      <c r="M5" s="41"/>
      <c r="N5" s="41"/>
    </row>
    <row r="6" spans="1:14" ht="15.75" customHeight="1" x14ac:dyDescent="0.25">
      <c r="A6" s="203" t="s">
        <v>44</v>
      </c>
      <c r="B6" s="204"/>
      <c r="C6" s="204"/>
      <c r="D6" s="204"/>
      <c r="E6" s="41"/>
      <c r="F6" s="43"/>
      <c r="G6" s="43"/>
      <c r="H6" s="41"/>
      <c r="I6" s="41">
        <f>H7</f>
        <v>0</v>
      </c>
      <c r="J6" s="41" t="str">
        <f>IF($H$7=1,CONCATENATE("SF ",$I$6),"")</f>
        <v/>
      </c>
      <c r="K6" s="41" t="s">
        <v>84</v>
      </c>
      <c r="L6" s="41"/>
      <c r="M6" s="41"/>
      <c r="N6" s="41"/>
    </row>
    <row r="7" spans="1:14" ht="15.75" customHeight="1" thickBot="1" x14ac:dyDescent="0.3">
      <c r="A7" s="48"/>
      <c r="B7" s="49" t="s">
        <v>2</v>
      </c>
      <c r="C7" s="47" t="s">
        <v>54</v>
      </c>
      <c r="D7" s="49" t="s">
        <v>39</v>
      </c>
      <c r="E7" s="41"/>
      <c r="F7" s="43"/>
      <c r="G7" s="43" t="s">
        <v>81</v>
      </c>
      <c r="H7" s="41">
        <f>IF(COUNTA(B_SF1)&gt;=1,1,0)</f>
        <v>0</v>
      </c>
      <c r="I7" s="41"/>
      <c r="J7" s="41"/>
      <c r="K7" s="41" t="s">
        <v>85</v>
      </c>
      <c r="L7" s="41">
        <f>COUNTIF(J:J,K7)</f>
        <v>0</v>
      </c>
      <c r="M7" s="41" t="str">
        <f>IF(L7&gt;1,"nur ein KF mit 6 ECTS erlaubt","")</f>
        <v/>
      </c>
      <c r="N7" s="41"/>
    </row>
    <row r="8" spans="1:14" ht="15.75" customHeight="1" thickBot="1" x14ac:dyDescent="0.3">
      <c r="A8" s="198" t="s">
        <v>55</v>
      </c>
      <c r="B8" s="106">
        <v>14240</v>
      </c>
      <c r="C8" s="104" t="str">
        <f ca="1">INDEX(Modulliste!B:B,MATCH(INDIRECT(CONCATENATE("B",ROW())),Modulliste!A:A,0))</f>
        <v>Technisches Design</v>
      </c>
      <c r="D8" s="87"/>
      <c r="E8" s="41"/>
      <c r="F8" s="43" t="s">
        <v>67</v>
      </c>
      <c r="G8" s="43"/>
      <c r="H8" s="41"/>
      <c r="I8" s="41"/>
      <c r="J8" s="41" t="str">
        <f t="shared" ref="J8:J21" si="0">IF(AND($H$7=1,D8="x"),CONCATENATE(F8,$I$6),"")</f>
        <v/>
      </c>
      <c r="K8" s="41" t="s">
        <v>86</v>
      </c>
      <c r="L8" s="41">
        <f>COUNTIF(J:J,K8)</f>
        <v>0</v>
      </c>
      <c r="M8" s="41" t="str">
        <f>IF(L8&gt;1,"nur ein EF mit 6 ECTS erlaubt","")</f>
        <v/>
      </c>
      <c r="N8" s="41"/>
    </row>
    <row r="9" spans="1:14" ht="15.75" customHeight="1" x14ac:dyDescent="0.25">
      <c r="A9" s="199"/>
      <c r="B9" s="110">
        <v>14310</v>
      </c>
      <c r="C9" s="112" t="str">
        <f ca="1">INDEX(Modulliste!B:B,MATCH(INDIRECT(CONCATENATE("B",ROW())),Modulliste!A:A,0))</f>
        <v>Zuverlässigkeitstechnik</v>
      </c>
      <c r="D9" s="88"/>
      <c r="E9" s="41"/>
      <c r="F9" s="43" t="s">
        <v>67</v>
      </c>
      <c r="G9" s="43"/>
      <c r="H9" s="41"/>
      <c r="I9" s="41"/>
      <c r="J9" s="41" t="str">
        <f t="shared" si="0"/>
        <v/>
      </c>
      <c r="K9" s="41" t="s">
        <v>87</v>
      </c>
      <c r="L9" s="41">
        <f>COUNTIF(J:J,K9)</f>
        <v>0</v>
      </c>
      <c r="M9" s="41" t="str">
        <f>IF(L9&gt;1,"nur ein EF mit 3 ECTS erlaubt","")</f>
        <v/>
      </c>
      <c r="N9" s="41"/>
    </row>
    <row r="10" spans="1:14" ht="15.75" customHeight="1" thickBot="1" x14ac:dyDescent="0.3">
      <c r="A10" s="200" t="s">
        <v>56</v>
      </c>
      <c r="B10" s="111">
        <v>14240</v>
      </c>
      <c r="C10" s="113" t="str">
        <f ca="1">INDEX(Modulliste!B:B,MATCH(INDIRECT(CONCATENATE("B",ROW())),Modulliste!A:A,0))</f>
        <v>Technisches Design</v>
      </c>
      <c r="D10" s="89"/>
      <c r="E10" s="41"/>
      <c r="F10" s="43" t="s">
        <v>68</v>
      </c>
      <c r="G10" s="43"/>
      <c r="H10" s="41"/>
      <c r="I10" s="41"/>
      <c r="J10" s="41" t="str">
        <f t="shared" si="0"/>
        <v/>
      </c>
      <c r="K10" s="41"/>
      <c r="L10" s="41"/>
      <c r="M10" s="41" t="str">
        <f t="shared" ref="M10:M19" si="1">IF(L10&gt;1,"Nur ein KF mit 6 ECTS erlaubt","")</f>
        <v/>
      </c>
      <c r="N10" s="41"/>
    </row>
    <row r="11" spans="1:14" ht="15.75" customHeight="1" thickBot="1" x14ac:dyDescent="0.3">
      <c r="A11" s="200"/>
      <c r="B11" s="106">
        <v>14310</v>
      </c>
      <c r="C11" s="104" t="str">
        <f ca="1">INDEX(Modulliste!B:B,MATCH(INDIRECT(CONCATENATE("B",ROW())),Modulliste!A:A,0))</f>
        <v>Zuverlässigkeitstechnik</v>
      </c>
      <c r="D11" s="87"/>
      <c r="E11" s="41"/>
      <c r="F11" s="43" t="s">
        <v>68</v>
      </c>
      <c r="G11" s="43"/>
      <c r="H11" s="41"/>
      <c r="I11" s="41"/>
      <c r="J11" s="41" t="str">
        <f t="shared" si="0"/>
        <v/>
      </c>
      <c r="K11" s="41" t="s">
        <v>204</v>
      </c>
      <c r="L11" s="41"/>
      <c r="M11" s="41" t="str">
        <f>CONCATENATE(M7,", ",M8,", ",M9)</f>
        <v xml:space="preserve">, , </v>
      </c>
      <c r="N11" s="41"/>
    </row>
    <row r="12" spans="1:14" ht="15.75" customHeight="1" thickBot="1" x14ac:dyDescent="0.3">
      <c r="A12" s="200"/>
      <c r="B12" s="106">
        <v>32330</v>
      </c>
      <c r="C12" s="104" t="str">
        <f ca="1">INDEX(Modulliste!B:B,MATCH(INDIRECT(CONCATENATE("B",ROW())),Modulliste!A:A,0))</f>
        <v>Getriebelehre: Grundlagen der Kinematik</v>
      </c>
      <c r="D12" s="87"/>
      <c r="E12" s="41"/>
      <c r="F12" s="43" t="s">
        <v>68</v>
      </c>
      <c r="G12" s="43"/>
      <c r="H12" s="41"/>
      <c r="I12" s="41"/>
      <c r="J12" s="41" t="str">
        <f t="shared" si="0"/>
        <v/>
      </c>
      <c r="K12" s="41"/>
      <c r="L12" s="41"/>
      <c r="M12" s="41"/>
      <c r="N12" s="41"/>
    </row>
    <row r="13" spans="1:14" ht="15.75" customHeight="1" x14ac:dyDescent="0.25">
      <c r="A13" s="199"/>
      <c r="B13" s="110">
        <v>32320</v>
      </c>
      <c r="C13" s="112" t="str">
        <f ca="1">INDEX(Modulliste!B:B,MATCH(INDIRECT(CONCATENATE("B",ROW())),Modulliste!A:A,0))</f>
        <v>Interface-Design</v>
      </c>
      <c r="D13" s="88"/>
      <c r="E13" s="41"/>
      <c r="F13" s="43" t="s">
        <v>68</v>
      </c>
      <c r="G13" s="43"/>
      <c r="H13" s="41"/>
      <c r="I13" s="41"/>
      <c r="J13" s="41" t="str">
        <f t="shared" si="0"/>
        <v/>
      </c>
      <c r="K13" s="41"/>
      <c r="L13" s="41"/>
      <c r="M13" s="41"/>
      <c r="N13" s="41"/>
    </row>
    <row r="14" spans="1:14" ht="15.75" customHeight="1" thickBot="1" x14ac:dyDescent="0.3">
      <c r="A14" s="200" t="s">
        <v>57</v>
      </c>
      <c r="B14" s="111">
        <v>32350</v>
      </c>
      <c r="C14" s="113" t="str">
        <f ca="1">INDEX(Modulliste!B:B,MATCH(INDIRECT(CONCATENATE("B",ROW())),Modulliste!A:A,0))</f>
        <v>Anwendung der Methode der Finiten Elemente im Maschinenbau</v>
      </c>
      <c r="D14" s="89"/>
      <c r="E14" s="41"/>
      <c r="F14" s="43" t="s">
        <v>69</v>
      </c>
      <c r="G14" s="43"/>
      <c r="H14" s="41"/>
      <c r="I14" s="41"/>
      <c r="J14" s="41" t="str">
        <f t="shared" si="0"/>
        <v/>
      </c>
      <c r="K14" s="41"/>
      <c r="L14" s="41"/>
      <c r="M14" s="41"/>
      <c r="N14" s="41"/>
    </row>
    <row r="15" spans="1:14" ht="15.75" customHeight="1" thickBot="1" x14ac:dyDescent="0.3">
      <c r="A15" s="200"/>
      <c r="B15" s="106">
        <v>74500</v>
      </c>
      <c r="C15" s="104" t="str">
        <f ca="1">INDEX(Modulliste!B:B,MATCH(INDIRECT(CONCATENATE("B",ROW())),Modulliste!A:A,0))</f>
        <v>DOE – Effiziente, statistische Versuchsplanung</v>
      </c>
      <c r="D15" s="87"/>
      <c r="E15" s="41"/>
      <c r="F15" s="43" t="s">
        <v>69</v>
      </c>
      <c r="G15" s="43"/>
      <c r="H15" s="41"/>
      <c r="I15" s="41"/>
      <c r="J15" s="41" t="str">
        <f t="shared" si="0"/>
        <v/>
      </c>
      <c r="K15" s="41" t="s">
        <v>89</v>
      </c>
      <c r="L15" s="41"/>
      <c r="M15" s="41"/>
      <c r="N15" s="41"/>
    </row>
    <row r="16" spans="1:14" ht="15.75" customHeight="1" thickBot="1" x14ac:dyDescent="0.3">
      <c r="A16" s="200"/>
      <c r="B16" s="106">
        <v>32340</v>
      </c>
      <c r="C16" s="104" t="str">
        <f ca="1">INDEX(Modulliste!B:B,MATCH(INDIRECT(CONCATENATE("B",ROW())),Modulliste!A:A,0))</f>
        <v>Dynamiksimulation in der Produktentwicklung</v>
      </c>
      <c r="D16" s="87"/>
      <c r="E16" s="41"/>
      <c r="F16" s="43" t="s">
        <v>69</v>
      </c>
      <c r="G16" s="43"/>
      <c r="H16" s="41"/>
      <c r="I16" s="41"/>
      <c r="J16" s="41" t="str">
        <f t="shared" si="0"/>
        <v/>
      </c>
      <c r="K16" s="41" t="s">
        <v>90</v>
      </c>
      <c r="L16" s="41">
        <f>COUNTIF(J:J,K16)</f>
        <v>0</v>
      </c>
      <c r="M16" s="41" t="str">
        <f>IF(L16&gt;1,"nur ein KF mit 6 ECTS erlaubt","")</f>
        <v/>
      </c>
      <c r="N16" s="41"/>
    </row>
    <row r="17" spans="1:14" ht="15.75" customHeight="1" thickBot="1" x14ac:dyDescent="0.3">
      <c r="A17" s="200"/>
      <c r="B17" s="106">
        <v>36050</v>
      </c>
      <c r="C17" s="104" t="str">
        <f ca="1">INDEX(Modulliste!B:B,MATCH(INDIRECT(CONCATENATE("B",ROW())),Modulliste!A:A,0))</f>
        <v>Einführung in das wissenschaftliche Arbeiten in der Produktentwicklung</v>
      </c>
      <c r="D17" s="87"/>
      <c r="E17" s="41"/>
      <c r="F17" s="43" t="s">
        <v>69</v>
      </c>
      <c r="G17" s="43"/>
      <c r="H17" s="41"/>
      <c r="I17" s="41"/>
      <c r="J17" s="41" t="str">
        <f t="shared" si="0"/>
        <v/>
      </c>
      <c r="K17" s="41" t="s">
        <v>91</v>
      </c>
      <c r="L17" s="41">
        <f>COUNTIF(J:J,K17)</f>
        <v>0</v>
      </c>
      <c r="M17" s="41" t="str">
        <f>IF(L17&gt;1,"nur ein EF mit 6 ECTS erlaubt","")</f>
        <v/>
      </c>
      <c r="N17" s="41"/>
    </row>
    <row r="18" spans="1:14" ht="15.75" customHeight="1" thickBot="1" x14ac:dyDescent="0.3">
      <c r="A18" s="200"/>
      <c r="B18" s="106">
        <v>100150</v>
      </c>
      <c r="C18" s="104" t="str">
        <f ca="1">INDEX(Modulliste!B:B,MATCH(INDIRECT(CONCATENATE("B",ROW())),Modulliste!A:A,0))</f>
        <v>Leichtbauproduktentwicklungsmethoden und -technologien in frühen Phasen</v>
      </c>
      <c r="D18" s="87"/>
      <c r="E18" s="41"/>
      <c r="F18" s="43" t="s">
        <v>69</v>
      </c>
      <c r="G18" s="43"/>
      <c r="H18" s="41"/>
      <c r="I18" s="41"/>
      <c r="J18" s="41" t="str">
        <f t="shared" si="0"/>
        <v/>
      </c>
      <c r="K18" s="41" t="s">
        <v>92</v>
      </c>
      <c r="L18" s="41">
        <f>COUNTIF(J:J,K18)</f>
        <v>0</v>
      </c>
      <c r="M18" s="41" t="str">
        <f>IF(L18&gt;1,"nur ein EF mit 3 ECTS erlaubt","")</f>
        <v/>
      </c>
      <c r="N18" s="41"/>
    </row>
    <row r="19" spans="1:14" ht="15.75" customHeight="1" thickBot="1" x14ac:dyDescent="0.3">
      <c r="A19" s="200"/>
      <c r="B19" s="106">
        <v>32140</v>
      </c>
      <c r="C19" s="104" t="str">
        <f ca="1">INDEX(Modulliste!B:B,MATCH(INDIRECT(CONCATENATE("B",ROW())),Modulliste!A:A,0))</f>
        <v>Simulation im technischen Entwicklungsprozess</v>
      </c>
      <c r="D19" s="87"/>
      <c r="E19" s="41"/>
      <c r="F19" s="43" t="s">
        <v>69</v>
      </c>
      <c r="G19" s="43"/>
      <c r="H19" s="41"/>
      <c r="I19" s="41"/>
      <c r="J19" s="41" t="str">
        <f t="shared" si="0"/>
        <v/>
      </c>
      <c r="K19" s="41"/>
      <c r="L19" s="41"/>
      <c r="M19" s="41" t="str">
        <f t="shared" si="1"/>
        <v/>
      </c>
      <c r="N19" s="41"/>
    </row>
    <row r="20" spans="1:14" ht="15.75" customHeight="1" x14ac:dyDescent="0.25">
      <c r="A20" s="199"/>
      <c r="B20" s="110">
        <v>32380</v>
      </c>
      <c r="C20" s="112" t="str">
        <f ca="1">INDEX(Modulliste!B:B,MATCH(INDIRECT(CONCATENATE("B",ROW())),Modulliste!A:A,0))</f>
        <v>Value Management</v>
      </c>
      <c r="D20" s="88"/>
      <c r="E20" s="41"/>
      <c r="F20" s="43" t="s">
        <v>69</v>
      </c>
      <c r="G20" s="43"/>
      <c r="H20" s="41"/>
      <c r="I20" s="41"/>
      <c r="J20" s="41" t="str">
        <f t="shared" si="0"/>
        <v/>
      </c>
      <c r="K20" s="41" t="s">
        <v>205</v>
      </c>
      <c r="L20" s="41"/>
      <c r="M20" s="41" t="str">
        <f>IF(SUM(L7:L18)&gt;6,"Es darf nur ein Modul pro KF/EF mit 6/3 ECTS gewählt werden","")</f>
        <v/>
      </c>
      <c r="N20" s="41"/>
    </row>
    <row r="21" spans="1:14" ht="15.75" customHeight="1" thickBot="1" x14ac:dyDescent="0.3">
      <c r="A21" s="72" t="s">
        <v>58</v>
      </c>
      <c r="B21" s="111">
        <v>32390</v>
      </c>
      <c r="C21" s="113" t="str">
        <f ca="1">INDEX(Modulliste!B:B,MATCH(INDIRECT(CONCATENATE("B",ROW())),Modulliste!A:A,0))</f>
        <v>Praktikum Konstruktionstechnik</v>
      </c>
      <c r="D21" s="89"/>
      <c r="E21" s="41"/>
      <c r="F21" s="43" t="s">
        <v>70</v>
      </c>
      <c r="G21" s="43"/>
      <c r="H21" s="41"/>
      <c r="I21" s="41"/>
      <c r="J21" s="41" t="str">
        <f t="shared" si="0"/>
        <v/>
      </c>
      <c r="K21" s="41"/>
      <c r="L21" s="41"/>
      <c r="M21" s="41"/>
      <c r="N21" s="41"/>
    </row>
    <row r="22" spans="1:14" ht="7.5" customHeight="1" x14ac:dyDescent="0.25">
      <c r="A22" s="186"/>
      <c r="B22" s="186"/>
      <c r="C22" s="186"/>
      <c r="D22" s="186"/>
      <c r="E22" s="41"/>
      <c r="F22" s="43"/>
      <c r="G22" s="43"/>
      <c r="H22" s="41"/>
      <c r="I22" s="41"/>
      <c r="J22" s="41"/>
      <c r="K22" s="41"/>
      <c r="L22" s="41"/>
      <c r="M22" s="41"/>
      <c r="N22" s="41"/>
    </row>
    <row r="23" spans="1:14" ht="15.75" customHeight="1" x14ac:dyDescent="0.25">
      <c r="A23" s="209" t="s">
        <v>259</v>
      </c>
      <c r="B23" s="210"/>
      <c r="C23" s="210"/>
      <c r="D23" s="210"/>
      <c r="E23" s="41"/>
      <c r="F23" s="43"/>
      <c r="G23" s="43"/>
      <c r="H23" s="41"/>
      <c r="I23" s="41"/>
      <c r="J23" s="41"/>
      <c r="K23" s="41"/>
      <c r="L23" s="41"/>
      <c r="M23" s="41"/>
      <c r="N23" s="41"/>
    </row>
    <row r="24" spans="1:14" ht="15.75" customHeight="1" x14ac:dyDescent="0.25">
      <c r="A24" s="203" t="s">
        <v>59</v>
      </c>
      <c r="B24" s="204"/>
      <c r="C24" s="204"/>
      <c r="D24" s="204"/>
      <c r="E24" s="41"/>
      <c r="F24" s="43"/>
      <c r="G24" s="43"/>
      <c r="H24" s="41"/>
      <c r="I24" s="41">
        <f>H25+IFERROR(I6,0)</f>
        <v>0</v>
      </c>
      <c r="J24" s="41" t="str">
        <f>IF($H$25=1,CONCATENATE("SF ",$I$24),"")</f>
        <v/>
      </c>
      <c r="K24" s="41"/>
      <c r="L24" s="41"/>
      <c r="M24" s="41"/>
      <c r="N24" s="41"/>
    </row>
    <row r="25" spans="1:14" ht="15.75" customHeight="1" thickBot="1" x14ac:dyDescent="0.3">
      <c r="A25" s="72"/>
      <c r="B25" s="50" t="s">
        <v>2</v>
      </c>
      <c r="C25" s="51" t="s">
        <v>54</v>
      </c>
      <c r="D25" s="50" t="s">
        <v>39</v>
      </c>
      <c r="E25" s="41"/>
      <c r="F25" s="43"/>
      <c r="G25" s="43" t="s">
        <v>82</v>
      </c>
      <c r="H25" s="41">
        <f>IF(COUNTA(B_SF2)&gt;=1,1,0)</f>
        <v>0</v>
      </c>
      <c r="I25" s="41"/>
      <c r="J25" s="41"/>
      <c r="K25" s="41"/>
      <c r="L25" s="41"/>
      <c r="M25" s="41"/>
      <c r="N25" s="41"/>
    </row>
    <row r="26" spans="1:14" ht="15.75" customHeight="1" thickBot="1" x14ac:dyDescent="0.3">
      <c r="A26" s="212" t="s">
        <v>55</v>
      </c>
      <c r="B26" s="108">
        <v>13920</v>
      </c>
      <c r="C26" s="114" t="str">
        <f ca="1">INDEX(Modulliste!B:B,MATCH(INDIRECT(CONCATENATE("B",ROW())),Modulliste!A:A,0))</f>
        <v>Dichtungstechnik</v>
      </c>
      <c r="D26" s="90"/>
      <c r="E26" s="41"/>
      <c r="F26" s="43" t="s">
        <v>67</v>
      </c>
      <c r="G26" s="43"/>
      <c r="H26" s="41"/>
      <c r="I26" s="41"/>
      <c r="J26" s="41" t="str">
        <f t="shared" ref="J26:J43" si="2">IF(AND($H$25=1,D26="x"),CONCATENATE(F26,$I$24),"")</f>
        <v/>
      </c>
      <c r="K26" s="41"/>
      <c r="L26" s="41"/>
      <c r="M26" s="41"/>
      <c r="N26" s="41"/>
    </row>
    <row r="27" spans="1:14" ht="15.75" customHeight="1" x14ac:dyDescent="0.25">
      <c r="A27" s="213"/>
      <c r="B27" s="109">
        <v>107080</v>
      </c>
      <c r="C27" s="115" t="str">
        <f ca="1">INDEX(Modulliste!B:B,MATCH(INDIRECT(CONCATENATE("B",ROW())),Modulliste!A:A,0))</f>
        <v>Hochleistungsgetriebe für mobile und stationäre Anwendungen</v>
      </c>
      <c r="D27" s="91"/>
      <c r="E27" s="41"/>
      <c r="F27" s="43" t="s">
        <v>67</v>
      </c>
      <c r="G27" s="43"/>
      <c r="H27" s="41"/>
      <c r="I27" s="41"/>
      <c r="J27" s="41" t="str">
        <f t="shared" si="2"/>
        <v/>
      </c>
      <c r="K27" s="41"/>
      <c r="L27" s="41"/>
      <c r="M27" s="41"/>
      <c r="N27" s="41"/>
    </row>
    <row r="28" spans="1:14" ht="15.75" customHeight="1" thickBot="1" x14ac:dyDescent="0.3">
      <c r="A28" s="195" t="s">
        <v>56</v>
      </c>
      <c r="B28" s="57">
        <v>13920</v>
      </c>
      <c r="C28" s="116" t="str">
        <f ca="1">INDEX(Modulliste!B:B,MATCH(INDIRECT(CONCATENATE("B",ROW())),Modulliste!A:A,0))</f>
        <v>Dichtungstechnik</v>
      </c>
      <c r="D28" s="92"/>
      <c r="E28" s="41"/>
      <c r="F28" s="43" t="s">
        <v>68</v>
      </c>
      <c r="G28" s="43"/>
      <c r="H28" s="41"/>
      <c r="I28" s="41"/>
      <c r="J28" s="41" t="str">
        <f t="shared" si="2"/>
        <v/>
      </c>
      <c r="K28" s="41"/>
      <c r="L28" s="41"/>
      <c r="M28" s="41"/>
      <c r="N28" s="41"/>
    </row>
    <row r="29" spans="1:14" ht="15.75" customHeight="1" thickBot="1" x14ac:dyDescent="0.3">
      <c r="A29" s="196"/>
      <c r="B29" s="52">
        <v>107080</v>
      </c>
      <c r="C29" s="117" t="str">
        <f ca="1">INDEX(Modulliste!B:B,MATCH(INDIRECT(CONCATENATE("B",ROW())),Modulliste!A:A,0))</f>
        <v>Hochleistungsgetriebe für mobile und stationäre Anwendungen</v>
      </c>
      <c r="D29" s="93"/>
      <c r="E29" s="41"/>
      <c r="F29" s="43" t="s">
        <v>68</v>
      </c>
      <c r="G29" s="43"/>
      <c r="H29" s="41"/>
      <c r="I29" s="41"/>
      <c r="J29" s="41" t="str">
        <f t="shared" si="2"/>
        <v/>
      </c>
      <c r="K29" s="41"/>
      <c r="L29" s="41"/>
      <c r="M29" s="41"/>
      <c r="N29" s="41"/>
    </row>
    <row r="30" spans="1:14" ht="15.75" customHeight="1" thickBot="1" x14ac:dyDescent="0.3">
      <c r="A30" s="196"/>
      <c r="B30" s="52">
        <v>13900</v>
      </c>
      <c r="C30" s="117" t="str">
        <f ca="1">INDEX(Modulliste!B:B,MATCH(INDIRECT(CONCATENATE("B",ROW())),Modulliste!A:A,0))</f>
        <v>Ackerschlepper und Ölhydraulik</v>
      </c>
      <c r="D30" s="93"/>
      <c r="E30" s="41"/>
      <c r="F30" s="43" t="s">
        <v>68</v>
      </c>
      <c r="G30" s="43"/>
      <c r="H30" s="41"/>
      <c r="I30" s="41"/>
      <c r="J30" s="41" t="str">
        <f t="shared" si="2"/>
        <v/>
      </c>
      <c r="K30" s="41"/>
      <c r="L30" s="41"/>
      <c r="M30" s="41"/>
      <c r="N30" s="41"/>
    </row>
    <row r="31" spans="1:14" ht="15.75" customHeight="1" thickBot="1" x14ac:dyDescent="0.3">
      <c r="A31" s="196"/>
      <c r="B31" s="52">
        <v>13920</v>
      </c>
      <c r="C31" s="117" t="str">
        <f ca="1">INDEX(Modulliste!B:B,MATCH(INDIRECT(CONCATENATE("B",ROW())),Modulliste!A:A,0))</f>
        <v>Dichtungstechnik</v>
      </c>
      <c r="D31" s="93"/>
      <c r="E31" s="41"/>
      <c r="F31" s="43" t="s">
        <v>68</v>
      </c>
      <c r="G31" s="43"/>
      <c r="H31" s="41"/>
      <c r="I31" s="41"/>
      <c r="J31" s="41" t="str">
        <f t="shared" si="2"/>
        <v/>
      </c>
      <c r="K31" s="41"/>
      <c r="L31" s="41"/>
      <c r="M31" s="41"/>
      <c r="N31" s="41"/>
    </row>
    <row r="32" spans="1:14" ht="15.75" customHeight="1" thickBot="1" x14ac:dyDescent="0.3">
      <c r="A32" s="196"/>
      <c r="B32" s="52">
        <v>32310</v>
      </c>
      <c r="C32" s="117" t="str">
        <f ca="1">INDEX(Modulliste!B:B,MATCH(INDIRECT(CONCATENATE("B",ROW())),Modulliste!A:A,0))</f>
        <v>Fahrzeug-Design</v>
      </c>
      <c r="D32" s="93"/>
      <c r="E32" s="41"/>
      <c r="F32" s="43" t="s">
        <v>68</v>
      </c>
      <c r="G32" s="43"/>
      <c r="H32" s="41"/>
      <c r="I32" s="41"/>
      <c r="J32" s="41" t="str">
        <f t="shared" si="2"/>
        <v/>
      </c>
      <c r="K32" s="41"/>
      <c r="L32" s="41"/>
      <c r="M32" s="41"/>
      <c r="N32" s="41"/>
    </row>
    <row r="33" spans="1:14" ht="15.75" customHeight="1" thickBot="1" x14ac:dyDescent="0.3">
      <c r="A33" s="196"/>
      <c r="B33" s="52">
        <v>78020</v>
      </c>
      <c r="C33" s="117" t="str">
        <f ca="1">INDEX(Modulliste!B:B,MATCH(INDIRECT(CONCATENATE("B",ROW())),Modulliste!A:A,0))</f>
        <v xml:space="preserve">Grundlagen der Fahrzeugantriebe </v>
      </c>
      <c r="D33" s="93"/>
      <c r="E33" s="41"/>
      <c r="F33" s="43" t="s">
        <v>68</v>
      </c>
      <c r="G33" s="43"/>
      <c r="H33" s="41"/>
      <c r="I33" s="41"/>
      <c r="J33" s="41" t="str">
        <f t="shared" si="2"/>
        <v/>
      </c>
      <c r="K33" s="41"/>
      <c r="L33" s="41"/>
      <c r="M33" s="41"/>
      <c r="N33" s="41"/>
    </row>
    <row r="34" spans="1:14" ht="15.75" customHeight="1" thickBot="1" x14ac:dyDescent="0.3">
      <c r="A34" s="196"/>
      <c r="B34" s="52">
        <v>101280</v>
      </c>
      <c r="C34" s="117" t="str">
        <f ca="1">INDEX(Modulliste!B:B,MATCH(INDIRECT(CONCATENATE("B",ROW())),Modulliste!A:A,0))</f>
        <v>Grundlagen der Kraftfahrzeuge</v>
      </c>
      <c r="D34" s="93"/>
      <c r="E34" s="41"/>
      <c r="F34" s="43" t="s">
        <v>68</v>
      </c>
      <c r="G34" s="43"/>
      <c r="H34" s="41"/>
      <c r="I34" s="41"/>
      <c r="J34" s="41" t="str">
        <f t="shared" si="2"/>
        <v/>
      </c>
      <c r="K34" s="41"/>
      <c r="L34" s="41"/>
      <c r="M34" s="41"/>
      <c r="N34" s="41"/>
    </row>
    <row r="35" spans="1:14" ht="15.75" customHeight="1" thickBot="1" x14ac:dyDescent="0.3">
      <c r="A35" s="196"/>
      <c r="B35" s="52">
        <v>14070</v>
      </c>
      <c r="C35" s="117" t="str">
        <f ca="1">INDEX(Modulliste!B:B,MATCH(INDIRECT(CONCATENATE("B",ROW())),Modulliste!A:A,0))</f>
        <v>Grundlagen der Thermischen Strömungsmaschinen</v>
      </c>
      <c r="D35" s="93"/>
      <c r="E35" s="41"/>
      <c r="F35" s="43" t="s">
        <v>68</v>
      </c>
      <c r="G35" s="43"/>
      <c r="H35" s="41"/>
      <c r="I35" s="41"/>
      <c r="J35" s="41" t="str">
        <f t="shared" si="2"/>
        <v/>
      </c>
      <c r="K35" s="41"/>
      <c r="L35" s="41"/>
      <c r="M35" s="41"/>
      <c r="N35" s="41"/>
    </row>
    <row r="36" spans="1:14" ht="15.75" customHeight="1" thickBot="1" x14ac:dyDescent="0.3">
      <c r="A36" s="196"/>
      <c r="B36" s="52">
        <v>107080</v>
      </c>
      <c r="C36" s="117" t="str">
        <f ca="1">INDEX(Modulliste!B:B,MATCH(INDIRECT(CONCATENATE("B",ROW())),Modulliste!A:A,0))</f>
        <v>Hochleistungsgetriebe für mobile und stationäre Anwendungen</v>
      </c>
      <c r="D36" s="93"/>
      <c r="E36" s="41"/>
      <c r="F36" s="43" t="s">
        <v>68</v>
      </c>
      <c r="G36" s="43"/>
      <c r="H36" s="41"/>
      <c r="I36" s="41"/>
      <c r="J36" s="41" t="str">
        <f t="shared" si="2"/>
        <v/>
      </c>
      <c r="K36" s="41"/>
      <c r="L36" s="41"/>
      <c r="M36" s="41"/>
      <c r="N36" s="41"/>
    </row>
    <row r="37" spans="1:14" ht="15.75" customHeight="1" thickBot="1" x14ac:dyDescent="0.3">
      <c r="A37" s="196"/>
      <c r="B37" s="52">
        <v>102720</v>
      </c>
      <c r="C37" s="117" t="str">
        <f ca="1">INDEX(Modulliste!B:B,MATCH(INDIRECT(CONCATENATE("B",ROW())),Modulliste!A:A,0))</f>
        <v>Materialfluss- und Fördertechnik</v>
      </c>
      <c r="D37" s="93"/>
      <c r="E37" s="41"/>
      <c r="F37" s="43" t="s">
        <v>68</v>
      </c>
      <c r="G37" s="43"/>
      <c r="H37" s="41"/>
      <c r="I37" s="41"/>
      <c r="J37" s="41" t="str">
        <f t="shared" si="2"/>
        <v/>
      </c>
      <c r="K37" s="41"/>
      <c r="L37" s="41"/>
      <c r="M37" s="41"/>
      <c r="N37" s="41"/>
    </row>
    <row r="38" spans="1:14" ht="15.75" customHeight="1" x14ac:dyDescent="0.25">
      <c r="A38" s="197"/>
      <c r="B38" s="59">
        <v>13570</v>
      </c>
      <c r="C38" s="118" t="str">
        <f ca="1">INDEX(Modulliste!B:B,MATCH(INDIRECT(CONCATENATE("B",ROW())),Modulliste!A:A,0))</f>
        <v>Werkzeugmaschinen und Produktionssysteme</v>
      </c>
      <c r="D38" s="94"/>
      <c r="E38" s="41"/>
      <c r="F38" s="43" t="s">
        <v>68</v>
      </c>
      <c r="G38" s="43"/>
      <c r="H38" s="41"/>
      <c r="I38" s="41"/>
      <c r="J38" s="41" t="str">
        <f t="shared" si="2"/>
        <v/>
      </c>
      <c r="K38" s="41"/>
      <c r="L38" s="41"/>
      <c r="M38" s="41"/>
      <c r="N38" s="41"/>
    </row>
    <row r="39" spans="1:14" ht="15.75" customHeight="1" thickBot="1" x14ac:dyDescent="0.3">
      <c r="A39" s="195" t="s">
        <v>57</v>
      </c>
      <c r="B39" s="57">
        <v>60930</v>
      </c>
      <c r="C39" s="116" t="str">
        <f ca="1">INDEX(Modulliste!B:B,MATCH(INDIRECT(CONCATENATE("B",ROW())),Modulliste!A:A,0))</f>
        <v>Grundlagen der Tribologie</v>
      </c>
      <c r="D39" s="95"/>
      <c r="E39" s="41"/>
      <c r="F39" s="43" t="s">
        <v>69</v>
      </c>
      <c r="G39" s="43"/>
      <c r="H39" s="41"/>
      <c r="I39" s="41"/>
      <c r="J39" s="41" t="str">
        <f t="shared" si="2"/>
        <v/>
      </c>
      <c r="K39" s="41"/>
      <c r="L39" s="41"/>
      <c r="M39" s="41"/>
      <c r="N39" s="41"/>
    </row>
    <row r="40" spans="1:14" ht="15.75" customHeight="1" thickBot="1" x14ac:dyDescent="0.3">
      <c r="A40" s="196"/>
      <c r="B40" s="52">
        <v>32360</v>
      </c>
      <c r="C40" s="117" t="str">
        <f ca="1">INDEX(Modulliste!B:B,MATCH(INDIRECT(CONCATENATE("B",ROW())),Modulliste!A:A,0))</f>
        <v>Grundlagen der Wälzlagertechnik</v>
      </c>
      <c r="D40" s="96"/>
      <c r="E40" s="41"/>
      <c r="F40" s="43" t="s">
        <v>69</v>
      </c>
      <c r="G40" s="43"/>
      <c r="H40" s="41"/>
      <c r="I40" s="41"/>
      <c r="J40" s="41" t="str">
        <f>IF(AND($H$25=1,D40="x"),CONCATENATE(F40,$I$24),"")</f>
        <v/>
      </c>
      <c r="K40" s="41"/>
      <c r="L40" s="41"/>
      <c r="M40" s="41"/>
      <c r="N40" s="41"/>
    </row>
    <row r="41" spans="1:14" ht="15.75" customHeight="1" thickBot="1" x14ac:dyDescent="0.3">
      <c r="A41" s="196"/>
      <c r="B41" s="52">
        <v>30940</v>
      </c>
      <c r="C41" s="117" t="str">
        <f ca="1">INDEX(Modulliste!B:B,MATCH(INDIRECT(CONCATENATE("B",ROW())),Modulliste!A:A,0))</f>
        <v>Industriegetriebe</v>
      </c>
      <c r="D41" s="96"/>
      <c r="E41" s="41"/>
      <c r="F41" s="43" t="s">
        <v>69</v>
      </c>
      <c r="G41" s="43"/>
      <c r="H41" s="41"/>
      <c r="I41" s="41"/>
      <c r="J41" s="41" t="str">
        <f t="shared" si="2"/>
        <v/>
      </c>
      <c r="K41" s="41"/>
      <c r="L41" s="41"/>
      <c r="M41" s="41"/>
      <c r="N41" s="41"/>
    </row>
    <row r="42" spans="1:14" ht="15.75" customHeight="1" x14ac:dyDescent="0.25">
      <c r="A42" s="197"/>
      <c r="B42" s="59">
        <v>32370</v>
      </c>
      <c r="C42" s="118" t="str">
        <f ca="1">INDEX(Modulliste!B:B,MATCH(INDIRECT(CONCATENATE("B",ROW())),Modulliste!A:A,0))</f>
        <v>Planetengetriebe</v>
      </c>
      <c r="D42" s="97"/>
      <c r="E42" s="41"/>
      <c r="F42" s="43" t="s">
        <v>69</v>
      </c>
      <c r="G42" s="43"/>
      <c r="H42" s="41"/>
      <c r="I42" s="41"/>
      <c r="J42" s="41" t="str">
        <f t="shared" si="2"/>
        <v/>
      </c>
      <c r="K42" s="41"/>
      <c r="L42" s="41"/>
      <c r="M42" s="41"/>
      <c r="N42" s="41"/>
    </row>
    <row r="43" spans="1:14" ht="15.75" customHeight="1" thickBot="1" x14ac:dyDescent="0.3">
      <c r="A43" s="73" t="s">
        <v>58</v>
      </c>
      <c r="B43" s="107">
        <v>31680</v>
      </c>
      <c r="C43" s="119" t="str">
        <f ca="1">INDEX(Modulliste!B:B,MATCH(INDIRECT(CONCATENATE("B",ROW())),Modulliste!A:A,0))</f>
        <v>Praktikum Konstruktionstechnik</v>
      </c>
      <c r="D43" s="98"/>
      <c r="E43" s="41"/>
      <c r="F43" s="43" t="s">
        <v>70</v>
      </c>
      <c r="G43" s="43"/>
      <c r="H43" s="41"/>
      <c r="I43" s="41"/>
      <c r="J43" s="41" t="str">
        <f t="shared" si="2"/>
        <v/>
      </c>
      <c r="K43" s="41"/>
      <c r="L43" s="41"/>
      <c r="M43" s="41"/>
      <c r="N43" s="41"/>
    </row>
    <row r="44" spans="1:14" ht="7.5" customHeight="1" x14ac:dyDescent="0.25">
      <c r="A44" s="208"/>
      <c r="B44" s="208"/>
      <c r="C44" s="208"/>
      <c r="D44" s="208"/>
      <c r="E44" s="41"/>
      <c r="F44" s="43"/>
      <c r="G44" s="43"/>
      <c r="H44" s="41"/>
      <c r="I44" s="41"/>
      <c r="J44" s="41"/>
      <c r="K44" s="41"/>
      <c r="L44" s="41"/>
      <c r="M44" s="41"/>
      <c r="N44" s="41"/>
    </row>
    <row r="45" spans="1:14" ht="15.75" customHeight="1" x14ac:dyDescent="0.25">
      <c r="A45" s="203" t="s">
        <v>17</v>
      </c>
      <c r="B45" s="204"/>
      <c r="C45" s="204"/>
      <c r="D45" s="204"/>
      <c r="E45" s="41"/>
      <c r="F45" s="43"/>
      <c r="G45" s="43"/>
      <c r="H45" s="41"/>
      <c r="I45" s="41">
        <f>H46+I24</f>
        <v>0</v>
      </c>
      <c r="J45" s="41" t="str">
        <f>IF($H$46=1,CONCATENATE("SF ",$I$45),"")</f>
        <v/>
      </c>
      <c r="K45" s="41"/>
      <c r="L45" s="41"/>
      <c r="M45" s="41"/>
      <c r="N45" s="41"/>
    </row>
    <row r="46" spans="1:14" ht="15.75" customHeight="1" thickBot="1" x14ac:dyDescent="0.3">
      <c r="A46" s="72"/>
      <c r="B46" s="50" t="s">
        <v>2</v>
      </c>
      <c r="C46" s="51" t="s">
        <v>54</v>
      </c>
      <c r="D46" s="50" t="s">
        <v>39</v>
      </c>
      <c r="E46" s="41"/>
      <c r="F46" s="43"/>
      <c r="G46" s="43" t="s">
        <v>83</v>
      </c>
      <c r="H46" s="41">
        <f>IF(COUNTA(B_SF3)&gt;=1,1,0)</f>
        <v>0</v>
      </c>
      <c r="I46" s="41"/>
      <c r="J46" s="41"/>
      <c r="K46" s="41"/>
      <c r="L46" s="41"/>
      <c r="M46" s="41"/>
      <c r="N46" s="41"/>
    </row>
    <row r="47" spans="1:14" ht="15.75" customHeight="1" thickBot="1" x14ac:dyDescent="0.3">
      <c r="A47" s="196" t="s">
        <v>55</v>
      </c>
      <c r="B47" s="52">
        <v>32310</v>
      </c>
      <c r="C47" s="53" t="str">
        <f ca="1">INDEX(Modulliste!B:B,MATCH(INDIRECT(CONCATENATE("B",ROW())),Modulliste!A:A,0))</f>
        <v>Fahrzeug-Design</v>
      </c>
      <c r="D47" s="93"/>
      <c r="E47" s="41"/>
      <c r="F47" s="43" t="s">
        <v>67</v>
      </c>
      <c r="G47" s="43"/>
      <c r="H47" s="41"/>
      <c r="I47" s="41"/>
      <c r="J47" s="41" t="str">
        <f t="shared" ref="J47:J65" si="3">IF(AND($H$46=1,D47="x"),CONCATENATE(F47,$I$45),"")</f>
        <v/>
      </c>
      <c r="K47" s="41"/>
      <c r="L47" s="41"/>
      <c r="M47" s="41"/>
      <c r="N47" s="41"/>
    </row>
    <row r="48" spans="1:14" ht="15.75" customHeight="1" thickBot="1" x14ac:dyDescent="0.3">
      <c r="A48" s="196"/>
      <c r="B48" s="52">
        <v>32320</v>
      </c>
      <c r="C48" s="53" t="str">
        <f ca="1">INDEX(Modulliste!B:B,MATCH(INDIRECT(CONCATENATE("B",ROW())),Modulliste!A:A,0))</f>
        <v>Interface-Design</v>
      </c>
      <c r="D48" s="93"/>
      <c r="E48" s="41"/>
      <c r="F48" s="43" t="s">
        <v>67</v>
      </c>
      <c r="G48" s="43"/>
      <c r="H48" s="41"/>
      <c r="I48" s="41"/>
      <c r="J48" s="41" t="str">
        <f t="shared" si="3"/>
        <v/>
      </c>
      <c r="K48" s="41"/>
      <c r="L48" s="41"/>
      <c r="M48" s="41"/>
      <c r="N48" s="41"/>
    </row>
    <row r="49" spans="1:14" ht="15.75" customHeight="1" thickBot="1" x14ac:dyDescent="0.3">
      <c r="A49" s="196"/>
      <c r="B49" s="52">
        <v>103800</v>
      </c>
      <c r="C49" s="53" t="str">
        <f ca="1">INDEX(Modulliste!B:B,MATCH(INDIRECT(CONCATENATE("B",ROW())),Modulliste!A:A,0))</f>
        <v>Interior Design Engineering</v>
      </c>
      <c r="D49" s="93"/>
      <c r="E49" s="41"/>
      <c r="F49" s="43" t="s">
        <v>67</v>
      </c>
      <c r="G49" s="43"/>
      <c r="H49" s="41"/>
      <c r="I49" s="41"/>
      <c r="J49" s="41" t="str">
        <f t="shared" si="3"/>
        <v/>
      </c>
      <c r="K49" s="41"/>
      <c r="L49" s="41"/>
      <c r="M49" s="41"/>
      <c r="N49" s="41"/>
    </row>
    <row r="50" spans="1:14" ht="15.75" customHeight="1" x14ac:dyDescent="0.25">
      <c r="A50" s="197"/>
      <c r="B50" s="59">
        <v>14240</v>
      </c>
      <c r="C50" s="60" t="str">
        <f ca="1">INDEX(Modulliste!B:B,MATCH(INDIRECT(CONCATENATE("B",ROW())),Modulliste!A:A,0))</f>
        <v>Technisches Design</v>
      </c>
      <c r="D50" s="94"/>
      <c r="E50" s="41"/>
      <c r="F50" s="43" t="s">
        <v>67</v>
      </c>
      <c r="G50" s="43"/>
      <c r="H50" s="41"/>
      <c r="I50" s="41"/>
      <c r="J50" s="41" t="str">
        <f t="shared" si="3"/>
        <v/>
      </c>
      <c r="K50" s="41"/>
      <c r="L50" s="41"/>
      <c r="M50" s="41"/>
      <c r="N50" s="41"/>
    </row>
    <row r="51" spans="1:14" ht="15.75" customHeight="1" thickBot="1" x14ac:dyDescent="0.3">
      <c r="A51" s="195" t="s">
        <v>56</v>
      </c>
      <c r="B51" s="57">
        <v>13530</v>
      </c>
      <c r="C51" s="58" t="str">
        <f ca="1">INDEX(Modulliste!B:B,MATCH(INDIRECT(CONCATENATE("B",ROW())),Modulliste!A:A,0))</f>
        <v>Arbeitswissenschaft</v>
      </c>
      <c r="D51" s="92"/>
      <c r="E51" s="41"/>
      <c r="F51" s="43" t="s">
        <v>68</v>
      </c>
      <c r="G51" s="43"/>
      <c r="H51" s="41"/>
      <c r="I51" s="41"/>
      <c r="J51" s="41" t="str">
        <f t="shared" si="3"/>
        <v/>
      </c>
      <c r="K51" s="41"/>
      <c r="L51" s="41"/>
      <c r="M51" s="41"/>
      <c r="N51" s="41"/>
    </row>
    <row r="52" spans="1:14" ht="15.75" customHeight="1" thickBot="1" x14ac:dyDescent="0.3">
      <c r="A52" s="196"/>
      <c r="B52" s="52">
        <v>32310</v>
      </c>
      <c r="C52" s="53" t="str">
        <f ca="1">INDEX(Modulliste!B:B,MATCH(INDIRECT(CONCATENATE("B",ROW())),Modulliste!A:A,0))</f>
        <v>Fahrzeug-Design</v>
      </c>
      <c r="D52" s="93"/>
      <c r="E52" s="41"/>
      <c r="F52" s="43" t="s">
        <v>68</v>
      </c>
      <c r="G52" s="43"/>
      <c r="H52" s="41"/>
      <c r="I52" s="41"/>
      <c r="J52" s="41" t="str">
        <f t="shared" si="3"/>
        <v/>
      </c>
      <c r="K52" s="41"/>
      <c r="L52" s="41"/>
      <c r="M52" s="41"/>
      <c r="N52" s="41"/>
    </row>
    <row r="53" spans="1:14" ht="15.75" customHeight="1" thickBot="1" x14ac:dyDescent="0.3">
      <c r="A53" s="196"/>
      <c r="B53" s="52">
        <v>32320</v>
      </c>
      <c r="C53" s="53" t="str">
        <f ca="1">INDEX(Modulliste!B:B,MATCH(INDIRECT(CONCATENATE("B",ROW())),Modulliste!A:A,0))</f>
        <v>Interface-Design</v>
      </c>
      <c r="D53" s="93"/>
      <c r="E53" s="41"/>
      <c r="F53" s="43" t="s">
        <v>68</v>
      </c>
      <c r="G53" s="43"/>
      <c r="H53" s="41"/>
      <c r="I53" s="41"/>
      <c r="J53" s="41" t="str">
        <f t="shared" si="3"/>
        <v/>
      </c>
      <c r="K53" s="41"/>
      <c r="L53" s="41"/>
      <c r="M53" s="41"/>
      <c r="N53" s="41"/>
    </row>
    <row r="54" spans="1:14" ht="15.75" customHeight="1" thickBot="1" x14ac:dyDescent="0.3">
      <c r="A54" s="196"/>
      <c r="B54" s="52">
        <v>103800</v>
      </c>
      <c r="C54" s="53" t="str">
        <f ca="1">INDEX(Modulliste!B:B,MATCH(INDIRECT(CONCATENATE("B",ROW())),Modulliste!A:A,0))</f>
        <v>Interior Design Engineering</v>
      </c>
      <c r="D54" s="93"/>
      <c r="E54" s="41"/>
      <c r="F54" s="43" t="s">
        <v>68</v>
      </c>
      <c r="G54" s="43"/>
      <c r="H54" s="41"/>
      <c r="I54" s="41"/>
      <c r="J54" s="41" t="str">
        <f t="shared" si="3"/>
        <v/>
      </c>
      <c r="K54" s="41"/>
      <c r="L54" s="41"/>
      <c r="M54" s="41"/>
      <c r="N54" s="41"/>
    </row>
    <row r="55" spans="1:14" ht="15.75" customHeight="1" thickBot="1" x14ac:dyDescent="0.3">
      <c r="A55" s="196"/>
      <c r="B55" s="52">
        <v>37690</v>
      </c>
      <c r="C55" s="53" t="str">
        <f ca="1">INDEX(Modulliste!B:B,MATCH(INDIRECT(CONCATENATE("B",ROW())),Modulliste!A:A,0))</f>
        <v>Konstruieren mit Kunststoffen</v>
      </c>
      <c r="D55" s="93"/>
      <c r="E55" s="41"/>
      <c r="F55" s="43" t="s">
        <v>68</v>
      </c>
      <c r="G55" s="43"/>
      <c r="H55" s="41"/>
      <c r="I55" s="41"/>
      <c r="J55" s="41" t="str">
        <f t="shared" si="3"/>
        <v/>
      </c>
      <c r="K55" s="41"/>
      <c r="L55" s="41"/>
      <c r="M55" s="41"/>
      <c r="N55" s="41"/>
    </row>
    <row r="56" spans="1:14" ht="15.75" customHeight="1" thickBot="1" x14ac:dyDescent="0.3">
      <c r="A56" s="196"/>
      <c r="B56" s="52">
        <v>33930</v>
      </c>
      <c r="C56" s="53" t="str">
        <f ca="1">INDEX(Modulliste!B:B,MATCH(INDIRECT(CONCATENATE("B",ROW())),Modulliste!A:A,0))</f>
        <v>Lacktechnik- Lacke und Pigmente</v>
      </c>
      <c r="D56" s="93"/>
      <c r="E56" s="41"/>
      <c r="F56" s="43" t="s">
        <v>68</v>
      </c>
      <c r="G56" s="43"/>
      <c r="H56" s="41"/>
      <c r="I56" s="41"/>
      <c r="J56" s="41" t="str">
        <f t="shared" si="3"/>
        <v/>
      </c>
      <c r="K56" s="41"/>
      <c r="L56" s="41"/>
      <c r="M56" s="41"/>
      <c r="N56" s="41"/>
    </row>
    <row r="57" spans="1:14" ht="15.75" customHeight="1" thickBot="1" x14ac:dyDescent="0.3">
      <c r="A57" s="196"/>
      <c r="B57" s="52">
        <v>32900</v>
      </c>
      <c r="C57" s="53" t="str">
        <f ca="1">INDEX(Modulliste!B:B,MATCH(INDIRECT(CONCATENATE("B",ROW())),Modulliste!A:A,0))</f>
        <v>Mensch-Rechner-Interaktion</v>
      </c>
      <c r="D57" s="93"/>
      <c r="E57" s="41"/>
      <c r="F57" s="43" t="s">
        <v>68</v>
      </c>
      <c r="G57" s="43"/>
      <c r="H57" s="41"/>
      <c r="I57" s="41"/>
      <c r="J57" s="41" t="str">
        <f t="shared" si="3"/>
        <v/>
      </c>
      <c r="K57" s="41"/>
      <c r="L57" s="41"/>
      <c r="M57" s="41"/>
      <c r="N57" s="41"/>
    </row>
    <row r="58" spans="1:14" ht="15.75" customHeight="1" x14ac:dyDescent="0.25">
      <c r="A58" s="197"/>
      <c r="B58" s="59">
        <v>14240</v>
      </c>
      <c r="C58" s="60" t="str">
        <f ca="1">INDEX(Modulliste!B:B,MATCH(INDIRECT(CONCATENATE("B",ROW())),Modulliste!A:A,0))</f>
        <v>Technisches Design</v>
      </c>
      <c r="D58" s="94"/>
      <c r="E58" s="41"/>
      <c r="F58" s="43" t="s">
        <v>68</v>
      </c>
      <c r="G58" s="43"/>
      <c r="H58" s="41"/>
      <c r="I58" s="41"/>
      <c r="J58" s="41" t="str">
        <f t="shared" si="3"/>
        <v/>
      </c>
      <c r="K58" s="41"/>
      <c r="L58" s="41"/>
      <c r="M58" s="41"/>
      <c r="N58" s="41"/>
    </row>
    <row r="59" spans="1:14" ht="15.75" customHeight="1" thickBot="1" x14ac:dyDescent="0.3">
      <c r="A59" s="195" t="s">
        <v>57</v>
      </c>
      <c r="B59" s="57">
        <v>60570</v>
      </c>
      <c r="C59" s="58" t="str">
        <f ca="1">INDEX(Modulliste!B:B,MATCH(INDIRECT(CONCATENATE("B",ROW())),Modulliste!A:A,0))</f>
        <v>Faserkunststoffverbunde</v>
      </c>
      <c r="D59" s="95"/>
      <c r="E59" s="41"/>
      <c r="F59" s="43" t="s">
        <v>69</v>
      </c>
      <c r="G59" s="43"/>
      <c r="H59" s="41"/>
      <c r="I59" s="41"/>
      <c r="J59" s="41" t="str">
        <f t="shared" si="3"/>
        <v/>
      </c>
      <c r="K59" s="41"/>
      <c r="L59" s="41"/>
      <c r="M59" s="41"/>
      <c r="N59" s="41"/>
    </row>
    <row r="60" spans="1:14" ht="15.75" customHeight="1" thickBot="1" x14ac:dyDescent="0.3">
      <c r="A60" s="196"/>
      <c r="B60" s="52">
        <v>100150</v>
      </c>
      <c r="C60" s="53" t="str">
        <f ca="1">INDEX(Modulliste!B:B,MATCH(INDIRECT(CONCATENATE("B",ROW())),Modulliste!A:A,0))</f>
        <v>Leichtbauproduktentwicklungsmethoden und -technologien in frühen Phasen</v>
      </c>
      <c r="D60" s="96"/>
      <c r="E60" s="41"/>
      <c r="F60" s="43" t="s">
        <v>69</v>
      </c>
      <c r="G60" s="43"/>
      <c r="H60" s="41"/>
      <c r="I60" s="41"/>
      <c r="J60" s="41" t="str">
        <f t="shared" si="3"/>
        <v/>
      </c>
      <c r="K60" s="41"/>
      <c r="L60" s="41"/>
      <c r="M60" s="41"/>
      <c r="N60" s="41"/>
    </row>
    <row r="61" spans="1:14" ht="15.75" customHeight="1" thickBot="1" x14ac:dyDescent="0.3">
      <c r="A61" s="196"/>
      <c r="B61" s="52">
        <v>105440</v>
      </c>
      <c r="C61" s="53" t="str">
        <f ca="1">INDEX(Modulliste!B:B,MATCH(INDIRECT(CONCATENATE("B",ROW())),Modulliste!A:A,0))</f>
        <v>Markenrecht und Designschutz</v>
      </c>
      <c r="D61" s="96"/>
      <c r="E61" s="41"/>
      <c r="F61" s="43" t="s">
        <v>69</v>
      </c>
      <c r="G61" s="43"/>
      <c r="H61" s="41"/>
      <c r="I61" s="41"/>
      <c r="J61" s="41" t="str">
        <f t="shared" si="3"/>
        <v/>
      </c>
      <c r="K61" s="41"/>
      <c r="L61" s="41"/>
      <c r="M61" s="41"/>
      <c r="N61" s="41"/>
    </row>
    <row r="62" spans="1:14" ht="15.75" customHeight="1" thickBot="1" x14ac:dyDescent="0.3">
      <c r="A62" s="196"/>
      <c r="B62" s="52">
        <v>105070</v>
      </c>
      <c r="C62" s="53" t="str">
        <f ca="1">INDEX(Modulliste!B:B,MATCH(INDIRECT(CONCATENATE("B",ROW())),Modulliste!A:A,0))</f>
        <v>Praktische Anwendungen Fahrzeug-Interior Design</v>
      </c>
      <c r="D62" s="96"/>
      <c r="E62" s="41"/>
      <c r="F62" s="43" t="s">
        <v>69</v>
      </c>
      <c r="G62" s="43"/>
      <c r="H62" s="41"/>
      <c r="I62" s="41"/>
      <c r="J62" s="41" t="str">
        <f t="shared" si="3"/>
        <v/>
      </c>
      <c r="K62" s="41"/>
      <c r="L62" s="41"/>
      <c r="M62" s="41"/>
      <c r="N62" s="41"/>
    </row>
    <row r="63" spans="1:14" ht="15.75" customHeight="1" thickBot="1" x14ac:dyDescent="0.3">
      <c r="A63" s="196"/>
      <c r="B63" s="52">
        <v>32380</v>
      </c>
      <c r="C63" s="53" t="str">
        <f ca="1">INDEX(Modulliste!B:B,MATCH(INDIRECT(CONCATENATE("B",ROW())),Modulliste!A:A,0))</f>
        <v>Value Management</v>
      </c>
      <c r="D63" s="96"/>
      <c r="E63" s="41"/>
      <c r="F63" s="43" t="s">
        <v>69</v>
      </c>
      <c r="G63" s="43"/>
      <c r="H63" s="41"/>
      <c r="I63" s="41"/>
      <c r="J63" s="41" t="str">
        <f t="shared" si="3"/>
        <v/>
      </c>
      <c r="K63" s="41"/>
      <c r="L63" s="41"/>
      <c r="M63" s="41"/>
      <c r="N63" s="41"/>
    </row>
    <row r="64" spans="1:14" ht="15.75" customHeight="1" x14ac:dyDescent="0.25">
      <c r="A64" s="197"/>
      <c r="B64" s="59">
        <v>32160</v>
      </c>
      <c r="C64" s="60" t="str">
        <f ca="1">INDEX(Modulliste!B:B,MATCH(INDIRECT(CONCATENATE("B",ROW())),Modulliste!A:A,0))</f>
        <v>Virtuelle und erweiterte Realität in der technisch-wissenschaftlichen Visualisierung</v>
      </c>
      <c r="D64" s="97"/>
      <c r="E64" s="41"/>
      <c r="F64" s="43" t="s">
        <v>69</v>
      </c>
      <c r="G64" s="43"/>
      <c r="H64" s="41"/>
      <c r="I64" s="41"/>
      <c r="J64" s="41" t="str">
        <f t="shared" si="3"/>
        <v/>
      </c>
      <c r="K64" s="41"/>
      <c r="L64" s="41"/>
      <c r="M64" s="41"/>
      <c r="N64" s="41"/>
    </row>
    <row r="65" spans="1:14" ht="15.75" customHeight="1" thickBot="1" x14ac:dyDescent="0.3">
      <c r="A65" s="73" t="s">
        <v>58</v>
      </c>
      <c r="B65" s="107">
        <v>105060</v>
      </c>
      <c r="C65" s="61" t="str">
        <f ca="1">INDEX(Modulliste!B:B,MATCH(INDIRECT(CONCATENATE("B",ROW())),Modulliste!A:A,0))</f>
        <v>Praktikum Technisches Design</v>
      </c>
      <c r="D65" s="98"/>
      <c r="E65" s="41"/>
      <c r="F65" s="43" t="s">
        <v>70</v>
      </c>
      <c r="G65" s="43"/>
      <c r="H65" s="41"/>
      <c r="I65" s="41"/>
      <c r="J65" s="41" t="str">
        <f t="shared" si="3"/>
        <v/>
      </c>
      <c r="K65" s="41"/>
      <c r="L65" s="41"/>
      <c r="M65" s="41"/>
      <c r="N65" s="41"/>
    </row>
    <row r="66" spans="1:14" ht="7.5" customHeight="1" x14ac:dyDescent="0.25">
      <c r="A66" s="208"/>
      <c r="B66" s="208"/>
      <c r="C66" s="208"/>
      <c r="D66" s="208"/>
      <c r="E66" s="41"/>
      <c r="F66" s="43"/>
      <c r="G66" s="43"/>
      <c r="H66" s="41"/>
      <c r="I66" s="41"/>
      <c r="J66" s="41"/>
      <c r="K66" s="41"/>
      <c r="L66" s="41"/>
      <c r="M66" s="41"/>
      <c r="N66" s="41"/>
    </row>
    <row r="67" spans="1:14" ht="15.75" customHeight="1" x14ac:dyDescent="0.25">
      <c r="A67" s="203" t="s">
        <v>101</v>
      </c>
      <c r="B67" s="204"/>
      <c r="C67" s="204"/>
      <c r="D67" s="204"/>
      <c r="E67" s="41"/>
      <c r="F67" s="43"/>
      <c r="G67" s="43"/>
      <c r="H67" s="41"/>
      <c r="I67" s="41">
        <f>H68+I45</f>
        <v>0</v>
      </c>
      <c r="J67" s="41" t="str">
        <f>IF($H$68=1,CONCATENATE("SF ",$I$67),"")</f>
        <v/>
      </c>
      <c r="K67" s="41"/>
      <c r="L67" s="41"/>
      <c r="M67" s="41"/>
      <c r="N67" s="41"/>
    </row>
    <row r="68" spans="1:14" ht="15.75" customHeight="1" thickBot="1" x14ac:dyDescent="0.3">
      <c r="A68" s="72"/>
      <c r="B68" s="50" t="s">
        <v>2</v>
      </c>
      <c r="C68" s="51" t="s">
        <v>54</v>
      </c>
      <c r="D68" s="50" t="s">
        <v>39</v>
      </c>
      <c r="E68" s="41"/>
      <c r="F68" s="43"/>
      <c r="G68" s="43" t="s">
        <v>190</v>
      </c>
      <c r="H68" s="41">
        <f>IF(COUNTA(B_SF4)&gt;=1,1,0)</f>
        <v>0</v>
      </c>
      <c r="I68" s="41"/>
      <c r="J68" s="41"/>
      <c r="K68" s="41"/>
      <c r="L68" s="41"/>
      <c r="M68" s="41"/>
      <c r="N68" s="41"/>
    </row>
    <row r="69" spans="1:14" ht="15.75" customHeight="1" x14ac:dyDescent="0.25">
      <c r="A69" s="74" t="s">
        <v>55</v>
      </c>
      <c r="B69" s="59">
        <v>32940</v>
      </c>
      <c r="C69" s="60" t="str">
        <f ca="1">INDEX(Modulliste!B:B,MATCH(INDIRECT(CONCATENATE("B",ROW())),Modulliste!A:A,0))</f>
        <v>Landmaschinen I und II</v>
      </c>
      <c r="D69" s="97"/>
      <c r="E69" s="41"/>
      <c r="F69" s="43" t="s">
        <v>67</v>
      </c>
      <c r="G69" s="43"/>
      <c r="H69" s="41"/>
      <c r="I69" s="41"/>
      <c r="J69" s="41" t="str">
        <f t="shared" ref="J69:J79" si="4">IF(AND($H$68=1,D69="x"),CONCATENATE(F69,$I$67),"")</f>
        <v/>
      </c>
      <c r="K69" s="41"/>
      <c r="L69" s="41"/>
      <c r="M69" s="41"/>
      <c r="N69" s="41"/>
    </row>
    <row r="70" spans="1:14" ht="15.75" customHeight="1" thickBot="1" x14ac:dyDescent="0.3">
      <c r="A70" s="205" t="s">
        <v>56</v>
      </c>
      <c r="B70" s="55">
        <v>13900</v>
      </c>
      <c r="C70" s="56" t="str">
        <f ca="1">INDEX(Modulliste!B:B,MATCH(INDIRECT(CONCATENATE("B",ROW())),Modulliste!A:A,0))</f>
        <v>Ackerschlepper und Ölhydraulik</v>
      </c>
      <c r="D70" s="99"/>
      <c r="E70" s="41"/>
      <c r="F70" s="43" t="s">
        <v>68</v>
      </c>
      <c r="G70" s="43"/>
      <c r="H70" s="41"/>
      <c r="I70" s="41"/>
      <c r="J70" s="41" t="str">
        <f t="shared" si="4"/>
        <v/>
      </c>
      <c r="K70" s="41"/>
      <c r="L70" s="41"/>
      <c r="M70" s="41"/>
      <c r="N70" s="41"/>
    </row>
    <row r="71" spans="1:14" ht="15.75" customHeight="1" thickBot="1" x14ac:dyDescent="0.3">
      <c r="A71" s="206"/>
      <c r="B71" s="52">
        <v>32330</v>
      </c>
      <c r="C71" s="53" t="str">
        <f ca="1">INDEX(Modulliste!B:B,MATCH(INDIRECT(CONCATENATE("B",ROW())),Modulliste!A:A,0))</f>
        <v>Getriebelehre: Grundlagen der Kinematik</v>
      </c>
      <c r="D71" s="96"/>
      <c r="E71" s="41"/>
      <c r="F71" s="43" t="s">
        <v>68</v>
      </c>
      <c r="G71" s="43"/>
      <c r="H71" s="41"/>
      <c r="I71" s="41"/>
      <c r="J71" s="41" t="str">
        <f t="shared" si="4"/>
        <v/>
      </c>
      <c r="K71" s="41"/>
      <c r="L71" s="41"/>
      <c r="M71" s="41"/>
      <c r="N71" s="41"/>
    </row>
    <row r="72" spans="1:14" ht="15.75" customHeight="1" thickBot="1" x14ac:dyDescent="0.3">
      <c r="A72" s="206"/>
      <c r="B72" s="52">
        <v>78020</v>
      </c>
      <c r="C72" s="53" t="str">
        <f ca="1">INDEX(Modulliste!B:B,MATCH(INDIRECT(CONCATENATE("B",ROW())),Modulliste!A:A,0))</f>
        <v xml:space="preserve">Grundlagen der Fahrzeugantriebe </v>
      </c>
      <c r="D72" s="96"/>
      <c r="E72" s="41"/>
      <c r="F72" s="43" t="s">
        <v>68</v>
      </c>
      <c r="G72" s="43"/>
      <c r="H72" s="41"/>
      <c r="I72" s="41"/>
      <c r="J72" s="41" t="str">
        <f t="shared" si="4"/>
        <v/>
      </c>
      <c r="K72" s="41"/>
      <c r="L72" s="41"/>
      <c r="M72" s="41"/>
      <c r="N72" s="41"/>
    </row>
    <row r="73" spans="1:14" ht="15.75" customHeight="1" thickBot="1" x14ac:dyDescent="0.3">
      <c r="A73" s="206"/>
      <c r="B73" s="52">
        <v>14020</v>
      </c>
      <c r="C73" s="53" t="str">
        <f ca="1">INDEX(Modulliste!B:B,MATCH(INDIRECT(CONCATENATE("B",ROW())),Modulliste!A:A,0))</f>
        <v>Grundlagen der Mechanischen Verfahrenstechnik</v>
      </c>
      <c r="D73" s="96"/>
      <c r="E73" s="41"/>
      <c r="F73" s="43" t="s">
        <v>68</v>
      </c>
      <c r="G73" s="43"/>
      <c r="H73" s="41"/>
      <c r="I73" s="41"/>
      <c r="J73" s="41" t="str">
        <f t="shared" si="4"/>
        <v/>
      </c>
      <c r="K73" s="41"/>
      <c r="L73" s="41"/>
      <c r="M73" s="41"/>
      <c r="N73" s="41"/>
    </row>
    <row r="74" spans="1:14" ht="15.75" customHeight="1" thickBot="1" x14ac:dyDescent="0.3">
      <c r="A74" s="206"/>
      <c r="B74" s="52">
        <v>107080</v>
      </c>
      <c r="C74" s="53" t="str">
        <f ca="1">INDEX(Modulliste!B:B,MATCH(INDIRECT(CONCATENATE("B",ROW())),Modulliste!A:A,0))</f>
        <v>Hochleistungsgetriebe für mobile und stationäre Anwendungen</v>
      </c>
      <c r="D74" s="96"/>
      <c r="E74" s="41"/>
      <c r="F74" s="43" t="s">
        <v>68</v>
      </c>
      <c r="G74" s="43"/>
      <c r="H74" s="41"/>
      <c r="I74" s="41"/>
      <c r="J74" s="41" t="str">
        <f t="shared" si="4"/>
        <v/>
      </c>
      <c r="K74" s="41"/>
      <c r="L74" s="41"/>
      <c r="M74" s="41"/>
      <c r="N74" s="41"/>
    </row>
    <row r="75" spans="1:14" ht="15.75" customHeight="1" thickBot="1" x14ac:dyDescent="0.3">
      <c r="A75" s="206"/>
      <c r="B75" s="52">
        <v>32940</v>
      </c>
      <c r="C75" s="53" t="str">
        <f ca="1">INDEX(Modulliste!B:B,MATCH(INDIRECT(CONCATENATE("B",ROW())),Modulliste!A:A,0))</f>
        <v>Landmaschinen I und II</v>
      </c>
      <c r="D75" s="96"/>
      <c r="E75" s="41"/>
      <c r="F75" s="43" t="s">
        <v>68</v>
      </c>
      <c r="G75" s="43"/>
      <c r="H75" s="41"/>
      <c r="I75" s="41"/>
      <c r="J75" s="41" t="str">
        <f t="shared" si="4"/>
        <v/>
      </c>
      <c r="K75" s="41"/>
      <c r="L75" s="41"/>
      <c r="M75" s="41"/>
      <c r="N75" s="41"/>
    </row>
    <row r="76" spans="1:14" ht="15.75" customHeight="1" thickBot="1" x14ac:dyDescent="0.3">
      <c r="A76" s="206"/>
      <c r="B76" s="52">
        <v>14160</v>
      </c>
      <c r="C76" s="53" t="str">
        <f ca="1">INDEX(Modulliste!B:B,MATCH(INDIRECT(CONCATENATE("B",ROW())),Modulliste!A:A,0))</f>
        <v>Methodische Produktentwicklung</v>
      </c>
      <c r="D76" s="96"/>
      <c r="E76" s="41"/>
      <c r="F76" s="43" t="s">
        <v>68</v>
      </c>
      <c r="G76" s="43"/>
      <c r="H76" s="41"/>
      <c r="I76" s="41"/>
      <c r="J76" s="41" t="str">
        <f t="shared" si="4"/>
        <v/>
      </c>
      <c r="K76" s="41"/>
      <c r="L76" s="41"/>
      <c r="M76" s="41"/>
      <c r="N76" s="41"/>
    </row>
    <row r="77" spans="1:14" ht="15.75" customHeight="1" x14ac:dyDescent="0.25">
      <c r="A77" s="207"/>
      <c r="B77" s="59">
        <v>14240</v>
      </c>
      <c r="C77" s="60" t="str">
        <f ca="1">INDEX(Modulliste!B:B,MATCH(INDIRECT(CONCATENATE("B",ROW())),Modulliste!A:A,0))</f>
        <v>Technisches Design</v>
      </c>
      <c r="D77" s="97"/>
      <c r="E77" s="41"/>
      <c r="F77" s="43" t="s">
        <v>68</v>
      </c>
      <c r="G77" s="43"/>
      <c r="H77" s="41"/>
      <c r="I77" s="41"/>
      <c r="J77" s="41" t="str">
        <f t="shared" si="4"/>
        <v/>
      </c>
      <c r="K77" s="41"/>
      <c r="L77" s="41"/>
      <c r="M77" s="41"/>
      <c r="N77" s="41"/>
    </row>
    <row r="78" spans="1:14" ht="15.75" customHeight="1" x14ac:dyDescent="0.25">
      <c r="A78" s="75" t="s">
        <v>57</v>
      </c>
      <c r="B78" s="65">
        <v>32620</v>
      </c>
      <c r="C78" s="66" t="str">
        <f ca="1">INDEX(Modulliste!B:B,MATCH(INDIRECT(CONCATENATE("B",ROW())),Modulliste!A:A,0))</f>
        <v>Baumaschinen</v>
      </c>
      <c r="D78" s="100"/>
      <c r="E78" s="41"/>
      <c r="F78" s="43" t="s">
        <v>69</v>
      </c>
      <c r="G78" s="43"/>
      <c r="H78" s="41"/>
      <c r="I78" s="41"/>
      <c r="J78" s="41" t="str">
        <f t="shared" si="4"/>
        <v/>
      </c>
      <c r="K78" s="41"/>
      <c r="L78" s="41"/>
      <c r="M78" s="41"/>
      <c r="N78" s="41"/>
    </row>
    <row r="79" spans="1:14" ht="15.75" customHeight="1" thickBot="1" x14ac:dyDescent="0.3">
      <c r="A79" s="76" t="s">
        <v>58</v>
      </c>
      <c r="B79" s="55">
        <v>33720</v>
      </c>
      <c r="C79" s="56" t="str">
        <f ca="1">INDEX(Modulliste!B:B,MATCH(INDIRECT(CONCATENATE("B",ROW())),Modulliste!A:A,0))</f>
        <v>Praktikum Agrartechnik</v>
      </c>
      <c r="D79" s="101"/>
      <c r="E79" s="41"/>
      <c r="F79" s="43" t="s">
        <v>70</v>
      </c>
      <c r="G79" s="43"/>
      <c r="H79" s="41"/>
      <c r="I79" s="41"/>
      <c r="J79" s="41" t="str">
        <f t="shared" si="4"/>
        <v/>
      </c>
      <c r="K79" s="41"/>
      <c r="L79" s="41"/>
      <c r="M79" s="41"/>
      <c r="N79" s="41"/>
    </row>
    <row r="80" spans="1:14" ht="6.75" customHeight="1" x14ac:dyDescent="0.25">
      <c r="A80" s="208"/>
      <c r="B80" s="208"/>
      <c r="C80" s="208"/>
      <c r="D80" s="208"/>
      <c r="E80" s="41"/>
      <c r="F80" s="43"/>
      <c r="G80" s="43"/>
      <c r="H80" s="41"/>
      <c r="I80" s="41"/>
      <c r="J80" s="41"/>
      <c r="K80" s="41"/>
      <c r="L80" s="41"/>
      <c r="M80" s="41"/>
      <c r="N80" s="41"/>
    </row>
    <row r="81" spans="1:14" ht="15.75" customHeight="1" x14ac:dyDescent="0.25">
      <c r="A81" s="203" t="s">
        <v>106</v>
      </c>
      <c r="B81" s="204"/>
      <c r="C81" s="204"/>
      <c r="D81" s="204"/>
      <c r="E81" s="41"/>
      <c r="F81" s="43"/>
      <c r="G81" s="43"/>
      <c r="H81" s="41"/>
      <c r="I81" s="41">
        <f>H82+I67</f>
        <v>0</v>
      </c>
      <c r="J81" s="41" t="str">
        <f>IF($H$82=1,CONCATENATE("SF ",$I$81),"")</f>
        <v/>
      </c>
      <c r="K81" s="41"/>
      <c r="L81" s="41"/>
      <c r="M81" s="41"/>
      <c r="N81" s="41"/>
    </row>
    <row r="82" spans="1:14" ht="15.75" customHeight="1" thickBot="1" x14ac:dyDescent="0.3">
      <c r="A82" s="72"/>
      <c r="B82" s="50" t="s">
        <v>2</v>
      </c>
      <c r="C82" s="51" t="s">
        <v>54</v>
      </c>
      <c r="D82" s="50" t="s">
        <v>39</v>
      </c>
      <c r="E82" s="41"/>
      <c r="F82" s="43"/>
      <c r="G82" s="43" t="s">
        <v>191</v>
      </c>
      <c r="H82" s="41">
        <f>IF(COUNTA(B_SF5)&gt;=1,1,0)</f>
        <v>0</v>
      </c>
      <c r="I82" s="41"/>
      <c r="J82" s="41"/>
      <c r="K82" s="41"/>
      <c r="L82" s="41"/>
      <c r="M82" s="41"/>
      <c r="N82" s="41"/>
    </row>
    <row r="83" spans="1:14" ht="15.75" customHeight="1" thickBot="1" x14ac:dyDescent="0.3">
      <c r="A83" s="211" t="s">
        <v>55</v>
      </c>
      <c r="B83" s="52">
        <v>32730</v>
      </c>
      <c r="C83" s="53" t="str">
        <f ca="1">INDEX(Modulliste!B:B,MATCH(INDIRECT(CONCATENATE("B",ROW())),Modulliste!A:A,0))</f>
        <v>Aktorik in der Gerätetechnik; Konstruktion, Berechnung und Anwendung mechatronischer Komponenten</v>
      </c>
      <c r="D83" s="96"/>
      <c r="E83" s="41"/>
      <c r="F83" s="43" t="s">
        <v>67</v>
      </c>
      <c r="G83" s="43"/>
      <c r="H83" s="41"/>
      <c r="I83" s="41"/>
      <c r="J83" s="41" t="str">
        <f t="shared" ref="J83:J98" si="5">IF(AND($H$82=1,D83="x"),CONCATENATE(F83,$I$81),"")</f>
        <v/>
      </c>
      <c r="K83" s="41"/>
      <c r="L83" s="41"/>
      <c r="M83" s="41"/>
      <c r="N83" s="41"/>
    </row>
    <row r="84" spans="1:14" ht="15.75" customHeight="1" thickBot="1" x14ac:dyDescent="0.3">
      <c r="A84" s="206"/>
      <c r="B84" s="52">
        <v>13970</v>
      </c>
      <c r="C84" s="53" t="str">
        <f ca="1">INDEX(Modulliste!B:B,MATCH(INDIRECT(CONCATENATE("B",ROW())),Modulliste!A:A,0))</f>
        <v>Gerätekonstruktion und -fertigung in der Feinwerktechnik</v>
      </c>
      <c r="D84" s="96"/>
      <c r="E84" s="41"/>
      <c r="F84" s="43" t="s">
        <v>67</v>
      </c>
      <c r="G84" s="43"/>
      <c r="H84" s="41"/>
      <c r="I84" s="41"/>
      <c r="J84" s="41" t="str">
        <f t="shared" si="5"/>
        <v/>
      </c>
      <c r="K84" s="41"/>
      <c r="L84" s="41"/>
      <c r="M84" s="41"/>
      <c r="N84" s="41"/>
    </row>
    <row r="85" spans="1:14" ht="15.75" customHeight="1" x14ac:dyDescent="0.25">
      <c r="A85" s="207"/>
      <c r="B85" s="59">
        <v>33260</v>
      </c>
      <c r="C85" s="60" t="str">
        <f ca="1">INDEX(Modulliste!B:B,MATCH(INDIRECT(CONCATENATE("B",ROW())),Modulliste!A:A,0))</f>
        <v>Praxis des Spritzgießens in der Gerätetechnik, Verfahren, Prozesskette, Simulation</v>
      </c>
      <c r="D85" s="97"/>
      <c r="E85" s="41"/>
      <c r="F85" s="43" t="s">
        <v>67</v>
      </c>
      <c r="G85" s="43"/>
      <c r="H85" s="41"/>
      <c r="I85" s="41"/>
      <c r="J85" s="41" t="str">
        <f t="shared" si="5"/>
        <v/>
      </c>
      <c r="K85" s="41"/>
      <c r="L85" s="41"/>
      <c r="M85" s="41"/>
      <c r="N85" s="41"/>
    </row>
    <row r="86" spans="1:14" ht="15.75" customHeight="1" thickBot="1" x14ac:dyDescent="0.3">
      <c r="A86" s="205" t="s">
        <v>56</v>
      </c>
      <c r="B86" s="55">
        <v>32730</v>
      </c>
      <c r="C86" s="56" t="str">
        <f ca="1">INDEX(Modulliste!B:B,MATCH(INDIRECT(CONCATENATE("B",ROW())),Modulliste!A:A,0))</f>
        <v>Aktorik in der Gerätetechnik; Konstruktion, Berechnung und Anwendung mechatronischer Komponenten</v>
      </c>
      <c r="D86" s="99"/>
      <c r="E86" s="41"/>
      <c r="F86" s="43" t="s">
        <v>68</v>
      </c>
      <c r="G86" s="43"/>
      <c r="H86" s="41"/>
      <c r="I86" s="41"/>
      <c r="J86" s="41" t="str">
        <f t="shared" si="5"/>
        <v/>
      </c>
      <c r="K86" s="41"/>
      <c r="L86" s="41"/>
      <c r="M86" s="41"/>
      <c r="N86" s="41"/>
    </row>
    <row r="87" spans="1:14" ht="15.75" customHeight="1" thickBot="1" x14ac:dyDescent="0.3">
      <c r="A87" s="206"/>
      <c r="B87" s="52">
        <v>32250</v>
      </c>
      <c r="C87" s="53" t="str">
        <f ca="1">INDEX(Modulliste!B:B,MATCH(INDIRECT(CONCATENATE("B",ROW())),Modulliste!A:A,0))</f>
        <v>Design und Fertigung mikro- und nanoelektronischer Systeme</v>
      </c>
      <c r="D87" s="96"/>
      <c r="E87" s="41"/>
      <c r="F87" s="43" t="s">
        <v>68</v>
      </c>
      <c r="G87" s="43"/>
      <c r="H87" s="41"/>
      <c r="I87" s="41"/>
      <c r="J87" s="41" t="str">
        <f t="shared" si="5"/>
        <v/>
      </c>
      <c r="K87" s="41"/>
      <c r="L87" s="41"/>
      <c r="M87" s="41"/>
      <c r="N87" s="41"/>
    </row>
    <row r="88" spans="1:14" ht="15.75" customHeight="1" thickBot="1" x14ac:dyDescent="0.3">
      <c r="A88" s="206"/>
      <c r="B88" s="52">
        <v>13970</v>
      </c>
      <c r="C88" s="53" t="str">
        <f ca="1">INDEX(Modulliste!B:B,MATCH(INDIRECT(CONCATENATE("B",ROW())),Modulliste!A:A,0))</f>
        <v>Gerätekonstruktion und -fertigung in der Feinwerktechnik</v>
      </c>
      <c r="D88" s="96"/>
      <c r="E88" s="41"/>
      <c r="F88" s="43" t="s">
        <v>68</v>
      </c>
      <c r="G88" s="43"/>
      <c r="H88" s="41"/>
      <c r="I88" s="41"/>
      <c r="J88" s="41" t="str">
        <f t="shared" si="5"/>
        <v/>
      </c>
      <c r="K88" s="41"/>
      <c r="L88" s="41"/>
      <c r="M88" s="41"/>
      <c r="N88" s="41"/>
    </row>
    <row r="89" spans="1:14" ht="15.75" customHeight="1" thickBot="1" x14ac:dyDescent="0.3">
      <c r="A89" s="206"/>
      <c r="B89" s="52">
        <v>13540</v>
      </c>
      <c r="C89" s="53" t="str">
        <f ca="1">INDEX(Modulliste!B:B,MATCH(INDIRECT(CONCATENATE("B",ROW())),Modulliste!A:A,0))</f>
        <v>Grundlagen der Mikro- und Mikrosystemtechnik</v>
      </c>
      <c r="D89" s="96"/>
      <c r="E89" s="41"/>
      <c r="F89" s="43" t="s">
        <v>68</v>
      </c>
      <c r="G89" s="43"/>
      <c r="H89" s="41"/>
      <c r="I89" s="41"/>
      <c r="J89" s="41" t="str">
        <f t="shared" si="5"/>
        <v/>
      </c>
      <c r="K89" s="41"/>
      <c r="L89" s="41"/>
      <c r="M89" s="41"/>
      <c r="N89" s="41"/>
    </row>
    <row r="90" spans="1:14" ht="15.75" customHeight="1" thickBot="1" x14ac:dyDescent="0.3">
      <c r="A90" s="206"/>
      <c r="B90" s="52">
        <v>33710</v>
      </c>
      <c r="C90" s="53" t="str">
        <f ca="1">INDEX(Modulliste!B:B,MATCH(INDIRECT(CONCATENATE("B",ROW())),Modulliste!A:A,0))</f>
        <v>Optische Messtechnik und Messverfahren</v>
      </c>
      <c r="D90" s="96"/>
      <c r="E90" s="41"/>
      <c r="F90" s="43" t="s">
        <v>68</v>
      </c>
      <c r="G90" s="43"/>
      <c r="H90" s="41"/>
      <c r="I90" s="41"/>
      <c r="J90" s="41" t="str">
        <f t="shared" si="5"/>
        <v/>
      </c>
      <c r="K90" s="41"/>
      <c r="L90" s="41"/>
      <c r="M90" s="41"/>
      <c r="N90" s="41"/>
    </row>
    <row r="91" spans="1:14" ht="15.75" customHeight="1" thickBot="1" x14ac:dyDescent="0.3">
      <c r="A91" s="206"/>
      <c r="B91" s="52">
        <v>33260</v>
      </c>
      <c r="C91" s="53" t="str">
        <f ca="1">INDEX(Modulliste!B:B,MATCH(INDIRECT(CONCATENATE("B",ROW())),Modulliste!A:A,0))</f>
        <v>Praxis des Spritzgießens in der Gerätetechnik, Verfahren, Prozesskette, Simulation</v>
      </c>
      <c r="D91" s="96"/>
      <c r="E91" s="41"/>
      <c r="F91" s="43" t="s">
        <v>68</v>
      </c>
      <c r="G91" s="43"/>
      <c r="H91" s="41"/>
      <c r="I91" s="41"/>
      <c r="J91" s="41" t="str">
        <f t="shared" si="5"/>
        <v/>
      </c>
      <c r="K91" s="41"/>
      <c r="L91" s="41"/>
      <c r="M91" s="41"/>
      <c r="N91" s="41"/>
    </row>
    <row r="92" spans="1:14" ht="15.75" customHeight="1" x14ac:dyDescent="0.25">
      <c r="A92" s="207"/>
      <c r="B92" s="59">
        <v>13560</v>
      </c>
      <c r="C92" s="60" t="str">
        <f ca="1">INDEX(Modulliste!B:B,MATCH(INDIRECT(CONCATENATE("B",ROW())),Modulliste!A:A,0))</f>
        <v>Technologien der Nano- und Mikrosystemtechnik I</v>
      </c>
      <c r="D92" s="97"/>
      <c r="E92" s="41"/>
      <c r="F92" s="43" t="s">
        <v>68</v>
      </c>
      <c r="G92" s="43"/>
      <c r="H92" s="41"/>
      <c r="I92" s="41"/>
      <c r="J92" s="41" t="str">
        <f t="shared" si="5"/>
        <v/>
      </c>
      <c r="K92" s="41"/>
      <c r="L92" s="41"/>
      <c r="M92" s="41"/>
      <c r="N92" s="41"/>
    </row>
    <row r="93" spans="1:14" ht="15.75" customHeight="1" thickBot="1" x14ac:dyDescent="0.3">
      <c r="A93" s="205" t="s">
        <v>57</v>
      </c>
      <c r="B93" s="55">
        <v>32480</v>
      </c>
      <c r="C93" s="56" t="str">
        <f ca="1">INDEX(Modulliste!B:B,MATCH(INDIRECT(CONCATENATE("B",ROW())),Modulliste!A:A,0))</f>
        <v>Deutsches und europäisches Patentrecht (Gewerblicher Rechtsschutz I)</v>
      </c>
      <c r="D93" s="99"/>
      <c r="E93" s="41"/>
      <c r="F93" s="43" t="s">
        <v>69</v>
      </c>
      <c r="G93" s="43"/>
      <c r="H93" s="41"/>
      <c r="I93" s="41"/>
      <c r="J93" s="41" t="str">
        <f t="shared" si="5"/>
        <v/>
      </c>
      <c r="K93" s="41"/>
      <c r="L93" s="41"/>
      <c r="M93" s="41"/>
      <c r="N93" s="41"/>
    </row>
    <row r="94" spans="1:14" ht="15.75" customHeight="1" thickBot="1" x14ac:dyDescent="0.3">
      <c r="A94" s="206"/>
      <c r="B94" s="52">
        <v>33300</v>
      </c>
      <c r="C94" s="53" t="str">
        <f ca="1">INDEX(Modulliste!B:B,MATCH(INDIRECT(CONCATENATE("B",ROW())),Modulliste!A:A,0))</f>
        <v>Elektrische Bauelemente in der Feinwerktechnik</v>
      </c>
      <c r="D94" s="96"/>
      <c r="E94" s="41"/>
      <c r="F94" s="43" t="s">
        <v>69</v>
      </c>
      <c r="G94" s="43"/>
      <c r="H94" s="41"/>
      <c r="I94" s="41"/>
      <c r="J94" s="41" t="str">
        <f t="shared" si="5"/>
        <v/>
      </c>
      <c r="K94" s="41"/>
      <c r="L94" s="41"/>
      <c r="M94" s="41"/>
      <c r="N94" s="41"/>
    </row>
    <row r="95" spans="1:14" ht="15.75" customHeight="1" thickBot="1" x14ac:dyDescent="0.3">
      <c r="A95" s="206"/>
      <c r="B95" s="52">
        <v>33310</v>
      </c>
      <c r="C95" s="53" t="str">
        <f ca="1">INDEX(Modulliste!B:B,MATCH(INDIRECT(CONCATENATE("B",ROW())),Modulliste!A:A,0))</f>
        <v>Elektronik für Feinwerktechniker</v>
      </c>
      <c r="D95" s="96"/>
      <c r="E95" s="41"/>
      <c r="F95" s="43" t="s">
        <v>69</v>
      </c>
      <c r="G95" s="43"/>
      <c r="H95" s="41"/>
      <c r="I95" s="41"/>
      <c r="J95" s="41" t="str">
        <f t="shared" si="5"/>
        <v/>
      </c>
      <c r="K95" s="41"/>
      <c r="L95" s="41"/>
      <c r="M95" s="41"/>
      <c r="N95" s="41"/>
    </row>
    <row r="96" spans="1:14" ht="15.75" customHeight="1" thickBot="1" x14ac:dyDescent="0.3">
      <c r="A96" s="206"/>
      <c r="B96" s="52">
        <v>32880</v>
      </c>
      <c r="C96" s="53" t="str">
        <f ca="1">INDEX(Modulliste!B:B,MATCH(INDIRECT(CONCATENATE("B",ROW())),Modulliste!A:A,0))</f>
        <v>Elektronische Bauelemente in der Mikrosystemtechnik</v>
      </c>
      <c r="D96" s="96"/>
      <c r="E96" s="41"/>
      <c r="F96" s="43" t="s">
        <v>69</v>
      </c>
      <c r="G96" s="43"/>
      <c r="H96" s="41"/>
      <c r="I96" s="41"/>
      <c r="J96" s="41" t="str">
        <f t="shared" si="5"/>
        <v/>
      </c>
      <c r="K96" s="41"/>
      <c r="L96" s="41"/>
      <c r="M96" s="41"/>
      <c r="N96" s="41"/>
    </row>
    <row r="97" spans="1:14" ht="15.75" customHeight="1" x14ac:dyDescent="0.25">
      <c r="A97" s="207"/>
      <c r="B97" s="59">
        <v>33280</v>
      </c>
      <c r="C97" s="60" t="str">
        <f ca="1">INDEX(Modulliste!B:B,MATCH(INDIRECT(CONCATENATE("B",ROW())),Modulliste!A:A,0))</f>
        <v>Praktische FEM-Simulation mit ANSYS und MAXWELL</v>
      </c>
      <c r="D97" s="97"/>
      <c r="E97" s="41"/>
      <c r="F97" s="43" t="s">
        <v>69</v>
      </c>
      <c r="G97" s="43"/>
      <c r="H97" s="41"/>
      <c r="I97" s="41"/>
      <c r="J97" s="41" t="str">
        <f t="shared" si="5"/>
        <v/>
      </c>
      <c r="K97" s="41"/>
      <c r="L97" s="41"/>
      <c r="M97" s="41"/>
      <c r="N97" s="41"/>
    </row>
    <row r="98" spans="1:14" ht="15.75" customHeight="1" thickBot="1" x14ac:dyDescent="0.3">
      <c r="A98" s="76" t="s">
        <v>58</v>
      </c>
      <c r="B98" s="55">
        <v>33780</v>
      </c>
      <c r="C98" s="67" t="str">
        <f ca="1">INDEX(Modulliste!B:B,MATCH(INDIRECT(CONCATENATE("B",ROW())),Modulliste!A:A,0))</f>
        <v>Praktikum Feinwerktechnik</v>
      </c>
      <c r="D98" s="99"/>
      <c r="E98" s="41"/>
      <c r="F98" s="43" t="s">
        <v>70</v>
      </c>
      <c r="G98" s="43"/>
      <c r="H98" s="41"/>
      <c r="I98" s="41"/>
      <c r="J98" s="41" t="str">
        <f t="shared" si="5"/>
        <v/>
      </c>
      <c r="K98" s="41"/>
      <c r="L98" s="41"/>
      <c r="M98" s="41"/>
      <c r="N98" s="41"/>
    </row>
    <row r="99" spans="1:14" ht="7.5" customHeight="1" x14ac:dyDescent="0.25">
      <c r="A99" s="208"/>
      <c r="B99" s="208"/>
      <c r="C99" s="208"/>
      <c r="D99" s="208"/>
      <c r="E99" s="41"/>
      <c r="F99" s="43"/>
      <c r="G99" s="43"/>
      <c r="H99" s="41"/>
      <c r="I99" s="41"/>
      <c r="J99" s="41"/>
      <c r="K99" s="41"/>
      <c r="L99" s="41"/>
      <c r="M99" s="41"/>
      <c r="N99" s="41"/>
    </row>
    <row r="100" spans="1:14" ht="15.75" customHeight="1" x14ac:dyDescent="0.25">
      <c r="A100" s="203" t="s">
        <v>118</v>
      </c>
      <c r="B100" s="204"/>
      <c r="C100" s="204"/>
      <c r="D100" s="204"/>
      <c r="E100" s="41"/>
      <c r="F100" s="43"/>
      <c r="G100" s="43"/>
      <c r="H100" s="41"/>
      <c r="I100" s="41">
        <f>H101+I81</f>
        <v>0</v>
      </c>
      <c r="J100" s="41" t="str">
        <f>IF($H$101=1,CONCATENATE("SF ",$I$100),"")</f>
        <v/>
      </c>
      <c r="K100" s="41"/>
      <c r="L100" s="41"/>
      <c r="M100" s="41"/>
      <c r="N100" s="41"/>
    </row>
    <row r="101" spans="1:14" ht="15.75" customHeight="1" thickBot="1" x14ac:dyDescent="0.3">
      <c r="A101" s="72"/>
      <c r="B101" s="50" t="s">
        <v>2</v>
      </c>
      <c r="C101" s="51" t="s">
        <v>54</v>
      </c>
      <c r="D101" s="50" t="s">
        <v>39</v>
      </c>
      <c r="E101" s="41"/>
      <c r="F101" s="43"/>
      <c r="G101" s="43" t="s">
        <v>192</v>
      </c>
      <c r="H101" s="41">
        <f>IF(COUNTA(B_SF6)&gt;=1,1,0)</f>
        <v>0</v>
      </c>
      <c r="I101" s="41"/>
      <c r="J101" s="41"/>
      <c r="K101" s="41"/>
      <c r="L101" s="41"/>
      <c r="M101" s="41"/>
      <c r="N101" s="41"/>
    </row>
    <row r="102" spans="1:14" ht="15.75" customHeight="1" thickBot="1" x14ac:dyDescent="0.3">
      <c r="A102" s="211" t="s">
        <v>55</v>
      </c>
      <c r="B102" s="64">
        <v>30390</v>
      </c>
      <c r="C102" s="63" t="str">
        <f ca="1">INDEX(Modulliste!B:B,MATCH(INDIRECT(CONCATENATE("B",ROW())),Modulliste!A:A,0))</f>
        <v>Festigkeitslehre I </v>
      </c>
      <c r="D102" s="102"/>
      <c r="E102" s="41"/>
      <c r="F102" s="43" t="s">
        <v>67</v>
      </c>
      <c r="G102" s="43"/>
      <c r="H102" s="41"/>
      <c r="I102" s="41"/>
      <c r="J102" s="41" t="str">
        <f t="shared" ref="J102:J116" si="6">IF(AND($H$101=1,D102="x"),CONCATENATE(F102,$I$100),"")</f>
        <v/>
      </c>
      <c r="K102" s="41"/>
      <c r="L102" s="41"/>
      <c r="M102" s="41"/>
      <c r="N102" s="41"/>
    </row>
    <row r="103" spans="1:14" ht="15.75" customHeight="1" thickBot="1" x14ac:dyDescent="0.3">
      <c r="A103" s="206"/>
      <c r="B103" s="52">
        <v>14150</v>
      </c>
      <c r="C103" s="53" t="str">
        <f ca="1">INDEX(Modulliste!B:B,MATCH(INDIRECT(CONCATENATE("B",ROW())),Modulliste!A:A,0))</f>
        <v>Leichtbau</v>
      </c>
      <c r="D103" s="96"/>
      <c r="E103" s="41"/>
      <c r="F103" s="43" t="s">
        <v>67</v>
      </c>
      <c r="G103" s="43"/>
      <c r="H103" s="41"/>
      <c r="I103" s="41"/>
      <c r="J103" s="41" t="str">
        <f t="shared" si="6"/>
        <v/>
      </c>
      <c r="K103" s="41"/>
      <c r="L103" s="41"/>
      <c r="M103" s="41"/>
      <c r="N103" s="41"/>
    </row>
    <row r="104" spans="1:14" ht="15.75" customHeight="1" x14ac:dyDescent="0.25">
      <c r="A104" s="207"/>
      <c r="B104" s="59">
        <v>30400</v>
      </c>
      <c r="C104" s="60" t="str">
        <f ca="1">INDEX(Modulliste!B:B,MATCH(INDIRECT(CONCATENATE("B",ROW())),Modulliste!A:A,0))</f>
        <v>Methoden der Werkstoffsimulation</v>
      </c>
      <c r="D104" s="97"/>
      <c r="E104" s="41"/>
      <c r="F104" s="43" t="s">
        <v>67</v>
      </c>
      <c r="G104" s="43"/>
      <c r="H104" s="41"/>
      <c r="I104" s="41"/>
      <c r="J104" s="41" t="str">
        <f t="shared" si="6"/>
        <v/>
      </c>
      <c r="K104" s="41"/>
      <c r="L104" s="41"/>
      <c r="M104" s="41"/>
      <c r="N104" s="41"/>
    </row>
    <row r="105" spans="1:14" ht="15.75" customHeight="1" thickBot="1" x14ac:dyDescent="0.3">
      <c r="A105" s="206" t="s">
        <v>56</v>
      </c>
      <c r="B105" s="55">
        <v>30390</v>
      </c>
      <c r="C105" s="56" t="str">
        <f ca="1">INDEX(Modulliste!B:B,MATCH(INDIRECT(CONCATENATE("B",ROW())),Modulliste!A:A,0))</f>
        <v>Festigkeitslehre I </v>
      </c>
      <c r="D105" s="99"/>
      <c r="E105" s="41"/>
      <c r="F105" s="43" t="s">
        <v>68</v>
      </c>
      <c r="G105" s="43"/>
      <c r="H105" s="41"/>
      <c r="I105" s="41"/>
      <c r="J105" s="41" t="str">
        <f t="shared" si="6"/>
        <v/>
      </c>
      <c r="K105" s="41"/>
      <c r="L105" s="41"/>
      <c r="M105" s="41"/>
      <c r="N105" s="41"/>
    </row>
    <row r="106" spans="1:14" ht="15.75" customHeight="1" thickBot="1" x14ac:dyDescent="0.3">
      <c r="A106" s="206"/>
      <c r="B106" s="52">
        <v>14150</v>
      </c>
      <c r="C106" s="53" t="str">
        <f ca="1">INDEX(Modulliste!B:B,MATCH(INDIRECT(CONCATENATE("B",ROW())),Modulliste!A:A,0))</f>
        <v>Leichtbau</v>
      </c>
      <c r="D106" s="96"/>
      <c r="E106" s="41"/>
      <c r="F106" s="43" t="s">
        <v>68</v>
      </c>
      <c r="G106" s="43"/>
      <c r="H106" s="41"/>
      <c r="I106" s="41"/>
      <c r="J106" s="41" t="str">
        <f t="shared" si="6"/>
        <v/>
      </c>
      <c r="K106" s="41"/>
      <c r="L106" s="41"/>
      <c r="M106" s="41"/>
      <c r="N106" s="41"/>
    </row>
    <row r="107" spans="1:14" ht="15.75" customHeight="1" thickBot="1" x14ac:dyDescent="0.3">
      <c r="A107" s="206"/>
      <c r="B107" s="52">
        <v>30400</v>
      </c>
      <c r="C107" s="53" t="str">
        <f ca="1">INDEX(Modulliste!B:B,MATCH(INDIRECT(CONCATENATE("B",ROW())),Modulliste!A:A,0))</f>
        <v>Methoden der Werkstoffsimulation</v>
      </c>
      <c r="D107" s="96"/>
      <c r="E107" s="41"/>
      <c r="F107" s="43" t="s">
        <v>68</v>
      </c>
      <c r="G107" s="43"/>
      <c r="H107" s="41"/>
      <c r="I107" s="41"/>
      <c r="J107" s="41" t="str">
        <f t="shared" si="6"/>
        <v/>
      </c>
      <c r="K107" s="41"/>
      <c r="L107" s="41"/>
      <c r="M107" s="41"/>
      <c r="N107" s="41"/>
    </row>
    <row r="108" spans="1:14" ht="15.75" customHeight="1" thickBot="1" x14ac:dyDescent="0.3">
      <c r="A108" s="206"/>
      <c r="B108" s="52">
        <v>32060</v>
      </c>
      <c r="C108" s="53" t="str">
        <f ca="1">INDEX(Modulliste!B:B,MATCH(INDIRECT(CONCATENATE("B",ROW())),Modulliste!A:A,0))</f>
        <v>Werkstoffe und Festigkeit</v>
      </c>
      <c r="D108" s="96"/>
      <c r="E108" s="41"/>
      <c r="F108" s="43" t="s">
        <v>68</v>
      </c>
      <c r="G108" s="43"/>
      <c r="H108" s="41"/>
      <c r="I108" s="41"/>
      <c r="J108" s="41" t="str">
        <f t="shared" si="6"/>
        <v/>
      </c>
      <c r="K108" s="41"/>
      <c r="L108" s="41"/>
      <c r="M108" s="41"/>
      <c r="N108" s="41"/>
    </row>
    <row r="109" spans="1:14" ht="15.75" customHeight="1" x14ac:dyDescent="0.25">
      <c r="A109" s="207"/>
      <c r="B109" s="59">
        <v>32050</v>
      </c>
      <c r="C109" s="60" t="str">
        <f ca="1">INDEX(Modulliste!B:B,MATCH(INDIRECT(CONCATENATE("B",ROW())),Modulliste!A:A,0))</f>
        <v>Werkstoffeigenschaften</v>
      </c>
      <c r="D109" s="97"/>
      <c r="E109" s="41"/>
      <c r="F109" s="43" t="s">
        <v>68</v>
      </c>
      <c r="G109" s="43"/>
      <c r="H109" s="41"/>
      <c r="I109" s="41"/>
      <c r="J109" s="41" t="str">
        <f t="shared" si="6"/>
        <v/>
      </c>
      <c r="K109" s="41"/>
      <c r="L109" s="41"/>
      <c r="M109" s="41"/>
      <c r="N109" s="41"/>
    </row>
    <row r="110" spans="1:14" ht="15.75" customHeight="1" thickBot="1" x14ac:dyDescent="0.3">
      <c r="A110" s="206" t="s">
        <v>57</v>
      </c>
      <c r="B110" s="55">
        <v>74200</v>
      </c>
      <c r="C110" s="56" t="str">
        <f ca="1">INDEX(Modulliste!B:B,MATCH(INDIRECT(CONCATENATE("B",ROW())),Modulliste!A:A,0))</f>
        <v>Additive Fertigung</v>
      </c>
      <c r="D110" s="99"/>
      <c r="E110" s="41"/>
      <c r="F110" s="43" t="s">
        <v>69</v>
      </c>
      <c r="G110" s="43"/>
      <c r="H110" s="41"/>
      <c r="I110" s="41"/>
      <c r="J110" s="41" t="str">
        <f t="shared" si="6"/>
        <v/>
      </c>
      <c r="K110" s="41"/>
      <c r="L110" s="41"/>
      <c r="M110" s="41"/>
      <c r="N110" s="41"/>
    </row>
    <row r="111" spans="1:14" ht="15.75" customHeight="1" thickBot="1" x14ac:dyDescent="0.3">
      <c r="A111" s="206"/>
      <c r="B111" s="52">
        <v>30900</v>
      </c>
      <c r="C111" s="53" t="str">
        <f ca="1">INDEX(Modulliste!B:B,MATCH(INDIRECT(CONCATENATE("B",ROW())),Modulliste!A:A,0))</f>
        <v>Festigkeitslehre II</v>
      </c>
      <c r="D111" s="96"/>
      <c r="E111" s="41"/>
      <c r="F111" s="43" t="s">
        <v>69</v>
      </c>
      <c r="G111" s="43"/>
      <c r="H111" s="41"/>
      <c r="I111" s="41"/>
      <c r="J111" s="41" t="str">
        <f t="shared" si="6"/>
        <v/>
      </c>
      <c r="K111" s="41"/>
      <c r="L111" s="41"/>
      <c r="M111" s="41"/>
      <c r="N111" s="41"/>
    </row>
    <row r="112" spans="1:14" ht="15.75" customHeight="1" thickBot="1" x14ac:dyDescent="0.3">
      <c r="A112" s="206"/>
      <c r="B112" s="52">
        <v>32090</v>
      </c>
      <c r="C112" s="53" t="str">
        <f ca="1">INDEX(Modulliste!B:B,MATCH(INDIRECT(CONCATENATE("B",ROW())),Modulliste!A:A,0))</f>
        <v>Fügetechnik</v>
      </c>
      <c r="D112" s="96"/>
      <c r="E112" s="41"/>
      <c r="F112" s="43" t="s">
        <v>69</v>
      </c>
      <c r="G112" s="43"/>
      <c r="H112" s="41"/>
      <c r="I112" s="41"/>
      <c r="J112" s="41" t="str">
        <f t="shared" si="6"/>
        <v/>
      </c>
      <c r="K112" s="41"/>
      <c r="L112" s="41"/>
      <c r="M112" s="41"/>
      <c r="N112" s="41"/>
    </row>
    <row r="113" spans="1:14" ht="15.75" customHeight="1" thickBot="1" x14ac:dyDescent="0.3">
      <c r="A113" s="206"/>
      <c r="B113" s="52">
        <v>32570</v>
      </c>
      <c r="C113" s="53" t="str">
        <f ca="1">INDEX(Modulliste!B:B,MATCH(INDIRECT(CONCATENATE("B",ROW())),Modulliste!A:A,0))</f>
        <v>Neue Werkstoffe und moderne Produktionsverfahren im Automobilbau</v>
      </c>
      <c r="D113" s="96"/>
      <c r="E113" s="41"/>
      <c r="F113" s="43" t="s">
        <v>69</v>
      </c>
      <c r="G113" s="43"/>
      <c r="H113" s="41"/>
      <c r="I113" s="41"/>
      <c r="J113" s="41" t="str">
        <f t="shared" si="6"/>
        <v/>
      </c>
      <c r="K113" s="41"/>
      <c r="L113" s="41"/>
      <c r="M113" s="41"/>
      <c r="N113" s="41"/>
    </row>
    <row r="114" spans="1:14" ht="15.75" customHeight="1" thickBot="1" x14ac:dyDescent="0.3">
      <c r="A114" s="206"/>
      <c r="B114" s="52">
        <v>32080</v>
      </c>
      <c r="C114" s="53" t="str">
        <f ca="1">INDEX(Modulliste!B:B,MATCH(INDIRECT(CONCATENATE("B",ROW())),Modulliste!A:A,0))</f>
        <v>Schadenskunde</v>
      </c>
      <c r="D114" s="96"/>
      <c r="E114" s="41"/>
      <c r="F114" s="43" t="s">
        <v>69</v>
      </c>
      <c r="G114" s="43"/>
      <c r="H114" s="41"/>
      <c r="I114" s="41"/>
      <c r="J114" s="41" t="str">
        <f t="shared" si="6"/>
        <v/>
      </c>
      <c r="K114" s="41"/>
      <c r="L114" s="41"/>
      <c r="M114" s="41"/>
      <c r="N114" s="41"/>
    </row>
    <row r="115" spans="1:14" ht="15.75" customHeight="1" x14ac:dyDescent="0.25">
      <c r="A115" s="207"/>
      <c r="B115" s="59">
        <v>32070</v>
      </c>
      <c r="C115" s="60" t="str">
        <f ca="1">INDEX(Modulliste!B:B,MATCH(INDIRECT(CONCATENATE("B",ROW())),Modulliste!A:A,0))</f>
        <v>Werkstoffmodellierung</v>
      </c>
      <c r="D115" s="97"/>
      <c r="E115" s="41"/>
      <c r="F115" s="43" t="s">
        <v>69</v>
      </c>
      <c r="G115" s="43"/>
      <c r="H115" s="41"/>
      <c r="I115" s="41"/>
      <c r="J115" s="41" t="str">
        <f t="shared" si="6"/>
        <v/>
      </c>
      <c r="K115" s="41"/>
      <c r="L115" s="41"/>
      <c r="M115" s="41"/>
      <c r="N115" s="41"/>
    </row>
    <row r="116" spans="1:14" ht="15.75" customHeight="1" thickBot="1" x14ac:dyDescent="0.3">
      <c r="A116" s="76" t="s">
        <v>58</v>
      </c>
      <c r="B116" s="55">
        <v>30910</v>
      </c>
      <c r="C116" s="56" t="str">
        <f ca="1">INDEX(Modulliste!B:B,MATCH(INDIRECT(CONCATENATE("B",ROW())),Modulliste!A:A,0))</f>
        <v>Praktikum Werkstoff- und Bauteilprüfung</v>
      </c>
      <c r="D116" s="99"/>
      <c r="E116" s="41"/>
      <c r="F116" s="43" t="s">
        <v>70</v>
      </c>
      <c r="G116" s="43"/>
      <c r="H116" s="41"/>
      <c r="I116" s="41"/>
      <c r="J116" s="41" t="str">
        <f t="shared" si="6"/>
        <v/>
      </c>
      <c r="K116" s="41"/>
      <c r="L116" s="41"/>
      <c r="M116" s="41"/>
      <c r="N116" s="41"/>
    </row>
    <row r="117" spans="1:14" ht="7.5" customHeight="1" x14ac:dyDescent="0.25">
      <c r="A117" s="194"/>
      <c r="B117" s="194"/>
      <c r="C117" s="194"/>
      <c r="D117" s="194"/>
      <c r="E117" s="41"/>
      <c r="F117" s="43"/>
      <c r="G117" s="43"/>
      <c r="H117" s="41"/>
      <c r="I117" s="41"/>
      <c r="J117" s="41"/>
      <c r="K117" s="41"/>
      <c r="L117" s="41"/>
      <c r="M117" s="41"/>
      <c r="N117" s="41"/>
    </row>
    <row r="118" spans="1:14" ht="15.75" customHeight="1" x14ac:dyDescent="0.25">
      <c r="A118" s="203" t="s">
        <v>129</v>
      </c>
      <c r="B118" s="204"/>
      <c r="C118" s="204"/>
      <c r="D118" s="204"/>
      <c r="E118" s="41"/>
      <c r="F118" s="43"/>
      <c r="G118" s="43"/>
      <c r="H118" s="41"/>
      <c r="I118" s="41">
        <f>H119+I100</f>
        <v>0</v>
      </c>
      <c r="J118" s="41" t="str">
        <f>IF($H$119=1,CONCATENATE("SF ",$I$118),"")</f>
        <v/>
      </c>
      <c r="K118" s="41"/>
      <c r="L118" s="41"/>
      <c r="M118" s="41"/>
      <c r="N118" s="41"/>
    </row>
    <row r="119" spans="1:14" ht="15.75" customHeight="1" thickBot="1" x14ac:dyDescent="0.3">
      <c r="A119" s="72"/>
      <c r="B119" s="50" t="s">
        <v>2</v>
      </c>
      <c r="C119" s="51" t="s">
        <v>54</v>
      </c>
      <c r="D119" s="50" t="s">
        <v>39</v>
      </c>
      <c r="E119" s="41"/>
      <c r="F119" s="43"/>
      <c r="G119" s="43" t="s">
        <v>193</v>
      </c>
      <c r="H119" s="41">
        <f>IF(COUNTA(B_SF7)&gt;=1,1,0)</f>
        <v>0</v>
      </c>
      <c r="I119" s="41"/>
      <c r="J119" s="41"/>
      <c r="K119" s="41"/>
      <c r="L119" s="41"/>
      <c r="M119" s="41"/>
      <c r="N119" s="41"/>
    </row>
    <row r="120" spans="1:14" ht="15.75" customHeight="1" thickBot="1" x14ac:dyDescent="0.3">
      <c r="A120" s="211" t="s">
        <v>55</v>
      </c>
      <c r="B120" s="52">
        <v>33030</v>
      </c>
      <c r="C120" s="53" t="str">
        <f ca="1">INDEX(Modulliste!B:B,MATCH(INDIRECT(CONCATENATE("B",ROW())),Modulliste!A:A,0))</f>
        <v>Grundlagen der Fahrzeugtechnik</v>
      </c>
      <c r="D120" s="96"/>
      <c r="E120" s="41"/>
      <c r="F120" s="43" t="s">
        <v>67</v>
      </c>
      <c r="G120" s="43"/>
      <c r="H120" s="41"/>
      <c r="I120" s="41"/>
      <c r="J120" s="41" t="str">
        <f t="shared" ref="J120:J126" si="7">IF(AND($H$119=1,D120="x"),CONCATENATE(F120,$I$118),"")</f>
        <v/>
      </c>
      <c r="K120" s="41"/>
      <c r="L120" s="41"/>
      <c r="M120" s="41"/>
      <c r="N120" s="41"/>
    </row>
    <row r="121" spans="1:14" ht="15.75" customHeight="1" x14ac:dyDescent="0.25">
      <c r="A121" s="207"/>
      <c r="B121" s="59">
        <v>13590</v>
      </c>
      <c r="C121" s="60" t="str">
        <f ca="1">INDEX(Modulliste!B:B,MATCH(INDIRECT(CONCATENATE("B",ROW())),Modulliste!A:A,0))</f>
        <v>Kraftfahrzeuge I + II</v>
      </c>
      <c r="D121" s="97"/>
      <c r="E121" s="41"/>
      <c r="F121" s="43" t="s">
        <v>67</v>
      </c>
      <c r="G121" s="43"/>
      <c r="H121" s="41"/>
      <c r="I121" s="41"/>
      <c r="J121" s="41" t="str">
        <f t="shared" si="7"/>
        <v/>
      </c>
      <c r="K121" s="41"/>
      <c r="L121" s="41"/>
      <c r="M121" s="41"/>
      <c r="N121" s="41"/>
    </row>
    <row r="122" spans="1:14" ht="15.75" customHeight="1" thickBot="1" x14ac:dyDescent="0.3">
      <c r="A122" s="205" t="s">
        <v>56</v>
      </c>
      <c r="B122" s="55">
        <v>33030</v>
      </c>
      <c r="C122" s="56" t="str">
        <f ca="1">INDEX(Modulliste!B:B,MATCH(INDIRECT(CONCATENATE("B",ROW())),Modulliste!A:A,0))</f>
        <v>Grundlagen der Fahrzeugtechnik</v>
      </c>
      <c r="D122" s="99"/>
      <c r="E122" s="41"/>
      <c r="F122" s="43" t="s">
        <v>68</v>
      </c>
      <c r="G122" s="43"/>
      <c r="H122" s="41"/>
      <c r="I122" s="41"/>
      <c r="J122" s="41" t="str">
        <f t="shared" si="7"/>
        <v/>
      </c>
      <c r="K122" s="41"/>
      <c r="L122" s="41"/>
      <c r="M122" s="41"/>
      <c r="N122" s="41"/>
    </row>
    <row r="123" spans="1:14" ht="15.75" customHeight="1" thickBot="1" x14ac:dyDescent="0.3">
      <c r="A123" s="206"/>
      <c r="B123" s="59">
        <v>13590</v>
      </c>
      <c r="C123" s="60" t="str">
        <f ca="1">INDEX(Modulliste!B:B,MATCH(INDIRECT(CONCATENATE("B",ROW())),Modulliste!A:A,0))</f>
        <v>Kraftfahrzeuge I + II</v>
      </c>
      <c r="D123" s="97"/>
      <c r="E123" s="41"/>
      <c r="F123" s="43" t="s">
        <v>68</v>
      </c>
      <c r="G123" s="43"/>
      <c r="H123" s="41"/>
      <c r="I123" s="41"/>
      <c r="J123" s="41" t="str">
        <f t="shared" si="7"/>
        <v/>
      </c>
      <c r="K123" s="41"/>
      <c r="L123" s="41"/>
      <c r="M123" s="41"/>
      <c r="N123" s="41"/>
    </row>
    <row r="124" spans="1:14" ht="15.75" customHeight="1" x14ac:dyDescent="0.25">
      <c r="A124" s="207"/>
      <c r="B124" s="59">
        <v>36640</v>
      </c>
      <c r="C124" s="60" t="str">
        <f ca="1">INDEX(Modulliste!B:B,MATCH(INDIRECT(CONCATENATE("B",ROW())),Modulliste!A:A,0))</f>
        <v>Spezielle Kapitel bei Fahrzeugen</v>
      </c>
      <c r="D124" s="97"/>
      <c r="E124" s="41"/>
      <c r="F124" s="43" t="s">
        <v>68</v>
      </c>
      <c r="G124" s="43"/>
      <c r="H124" s="41"/>
      <c r="I124" s="41"/>
      <c r="J124" s="41" t="str">
        <f t="shared" si="7"/>
        <v/>
      </c>
      <c r="K124" s="41"/>
      <c r="L124" s="41"/>
      <c r="M124" s="41"/>
      <c r="N124" s="41"/>
    </row>
    <row r="125" spans="1:14" ht="15.75" customHeight="1" x14ac:dyDescent="0.25">
      <c r="A125" s="75" t="s">
        <v>57</v>
      </c>
      <c r="B125" s="65">
        <v>37760</v>
      </c>
      <c r="C125" s="66" t="str">
        <f ca="1">INDEX(Modulliste!B:B,MATCH(INDIRECT(CONCATENATE("B",ROW())),Modulliste!A:A,0))</f>
        <v>Fahreigenschaften des Kraftfahrzeugs</v>
      </c>
      <c r="D125" s="103"/>
      <c r="E125" s="41"/>
      <c r="F125" s="43" t="s">
        <v>69</v>
      </c>
      <c r="G125" s="43"/>
      <c r="H125" s="41"/>
      <c r="I125" s="41"/>
      <c r="J125" s="41" t="str">
        <f t="shared" si="7"/>
        <v/>
      </c>
      <c r="K125" s="41"/>
      <c r="L125" s="41"/>
      <c r="M125" s="41"/>
      <c r="N125" s="41"/>
    </row>
    <row r="126" spans="1:14" ht="15.75" customHeight="1" thickBot="1" x14ac:dyDescent="0.3">
      <c r="A126" s="76" t="s">
        <v>58</v>
      </c>
      <c r="B126" s="55">
        <v>37810</v>
      </c>
      <c r="C126" s="56" t="str">
        <f ca="1">INDEX(Modulliste!B:B,MATCH(INDIRECT(CONCATENATE("B",ROW())),Modulliste!A:A,0))</f>
        <v>Praktikum Kraftfahrzeuge</v>
      </c>
      <c r="D126" s="99"/>
      <c r="E126" s="41"/>
      <c r="F126" s="43" t="s">
        <v>70</v>
      </c>
      <c r="G126" s="43"/>
      <c r="H126" s="41"/>
      <c r="I126" s="41"/>
      <c r="J126" s="41" t="str">
        <f t="shared" si="7"/>
        <v/>
      </c>
      <c r="K126" s="41"/>
      <c r="L126" s="41"/>
      <c r="M126" s="41"/>
      <c r="N126" s="41"/>
    </row>
    <row r="127" spans="1:14" ht="7.5" customHeight="1" x14ac:dyDescent="0.25">
      <c r="A127" s="194"/>
      <c r="B127" s="194"/>
      <c r="C127" s="194"/>
      <c r="D127" s="194"/>
      <c r="E127" s="41"/>
      <c r="F127" s="43"/>
      <c r="G127" s="43"/>
      <c r="H127" s="41"/>
      <c r="I127" s="41"/>
      <c r="J127" s="41"/>
      <c r="K127" s="41"/>
      <c r="L127" s="41"/>
      <c r="M127" s="41"/>
      <c r="N127" s="41"/>
    </row>
    <row r="128" spans="1:14" ht="15.75" customHeight="1" x14ac:dyDescent="0.25">
      <c r="A128" s="203" t="s">
        <v>156</v>
      </c>
      <c r="B128" s="204"/>
      <c r="C128" s="204"/>
      <c r="D128" s="204"/>
      <c r="E128" s="41"/>
      <c r="F128" s="43"/>
      <c r="G128" s="43"/>
      <c r="H128" s="41"/>
      <c r="I128" s="41">
        <f>H129+I118</f>
        <v>0</v>
      </c>
      <c r="J128" s="41" t="str">
        <f>IF($H$129=1,CONCATENATE("SF ",$I$128),"")</f>
        <v/>
      </c>
      <c r="K128" s="41"/>
      <c r="L128" s="41"/>
      <c r="M128" s="41"/>
      <c r="N128" s="41"/>
    </row>
    <row r="129" spans="1:14" ht="15.75" customHeight="1" thickBot="1" x14ac:dyDescent="0.3">
      <c r="A129" s="72"/>
      <c r="B129" s="50" t="s">
        <v>2</v>
      </c>
      <c r="C129" s="51" t="s">
        <v>54</v>
      </c>
      <c r="D129" s="50" t="s">
        <v>39</v>
      </c>
      <c r="E129" s="41"/>
      <c r="F129" s="43"/>
      <c r="G129" s="43" t="s">
        <v>194</v>
      </c>
      <c r="H129" s="41">
        <f>IF(COUNTA(B_SF8)&gt;=1,1,0)</f>
        <v>0</v>
      </c>
      <c r="I129" s="41"/>
      <c r="J129" s="41"/>
      <c r="K129" s="41"/>
      <c r="L129" s="41"/>
      <c r="M129" s="41"/>
      <c r="N129" s="41"/>
    </row>
    <row r="130" spans="1:14" ht="15.75" customHeight="1" x14ac:dyDescent="0.25">
      <c r="A130" s="74" t="s">
        <v>55</v>
      </c>
      <c r="B130" s="59">
        <v>101290</v>
      </c>
      <c r="C130" s="62" t="str">
        <f ca="1">INDEX(Modulliste!B:B,MATCH(INDIRECT(CONCATENATE("B",ROW())),Modulliste!A:A,0))</f>
        <v>Grundlagen der Kraftfahrzeugdynamik</v>
      </c>
      <c r="D130" s="97"/>
      <c r="E130" s="41"/>
      <c r="F130" s="43" t="s">
        <v>67</v>
      </c>
      <c r="G130" s="43"/>
      <c r="H130" s="41"/>
      <c r="I130" s="41"/>
      <c r="J130" s="41" t="str">
        <f t="shared" ref="J130:J135" si="8">IF(AND($H$129=1,D130="x"),CONCATENATE(F130,$I$128),"")</f>
        <v/>
      </c>
      <c r="K130" s="41"/>
      <c r="L130" s="41"/>
      <c r="M130" s="41"/>
      <c r="N130" s="41"/>
    </row>
    <row r="131" spans="1:14" ht="15.75" customHeight="1" thickBot="1" x14ac:dyDescent="0.3">
      <c r="A131" s="195" t="s">
        <v>56</v>
      </c>
      <c r="B131" s="57">
        <v>101280</v>
      </c>
      <c r="C131" s="71" t="str">
        <f ca="1">INDEX(Modulliste!B:B,MATCH(INDIRECT(CONCATENATE("B",ROW())),Modulliste!A:A,0))</f>
        <v>Grundlagen der Kraftfahrzeuge</v>
      </c>
      <c r="D131" s="95"/>
      <c r="E131" s="41"/>
      <c r="F131" s="43" t="s">
        <v>68</v>
      </c>
      <c r="G131" s="43"/>
      <c r="H131" s="41"/>
      <c r="I131" s="41"/>
      <c r="J131" s="41" t="str">
        <f t="shared" si="8"/>
        <v/>
      </c>
      <c r="K131" s="41"/>
      <c r="L131" s="41"/>
      <c r="M131" s="41"/>
      <c r="N131" s="41"/>
    </row>
    <row r="132" spans="1:14" ht="15.75" customHeight="1" thickBot="1" x14ac:dyDescent="0.3">
      <c r="A132" s="196"/>
      <c r="B132" s="52">
        <v>101300</v>
      </c>
      <c r="C132" s="54" t="str">
        <f ca="1">INDEX(Modulliste!B:B,MATCH(INDIRECT(CONCATENATE("B",ROW())),Modulliste!A:A,0))</f>
        <v xml:space="preserve">Grundlagen der Fahrzeugaerodynamik </v>
      </c>
      <c r="D132" s="96"/>
      <c r="E132" s="41"/>
      <c r="F132" s="43" t="s">
        <v>68</v>
      </c>
      <c r="G132" s="43"/>
      <c r="H132" s="41"/>
      <c r="I132" s="41"/>
      <c r="J132" s="41" t="str">
        <f t="shared" si="8"/>
        <v/>
      </c>
      <c r="K132" s="41"/>
      <c r="L132" s="41"/>
      <c r="M132" s="41"/>
      <c r="N132" s="41"/>
    </row>
    <row r="133" spans="1:14" ht="15.75" customHeight="1" x14ac:dyDescent="0.25">
      <c r="A133" s="197"/>
      <c r="B133" s="59">
        <v>101310</v>
      </c>
      <c r="C133" s="62" t="str">
        <f ca="1">INDEX(Modulliste!B:B,MATCH(INDIRECT(CONCATENATE("B",ROW())),Modulliste!A:A,0))</f>
        <v>Grundlagen der Fahrzeugakustik</v>
      </c>
      <c r="D133" s="97"/>
      <c r="E133" s="41"/>
      <c r="F133" s="43" t="s">
        <v>68</v>
      </c>
      <c r="G133" s="43"/>
      <c r="H133" s="41"/>
      <c r="I133" s="41"/>
      <c r="J133" s="41" t="str">
        <f t="shared" si="8"/>
        <v/>
      </c>
      <c r="K133" s="41"/>
      <c r="L133" s="41"/>
      <c r="M133" s="41"/>
      <c r="N133" s="41"/>
    </row>
    <row r="134" spans="1:14" ht="15.75" customHeight="1" x14ac:dyDescent="0.25">
      <c r="A134" s="77" t="s">
        <v>57</v>
      </c>
      <c r="B134" s="69">
        <v>101330</v>
      </c>
      <c r="C134" s="70" t="str">
        <f ca="1">INDEX(Modulliste!B:B,MATCH(INDIRECT(CONCATENATE("B",ROW())),Modulliste!A:A,0))</f>
        <v>Ausgewählte Themen der Fahrzeugtechnik</v>
      </c>
      <c r="D134" s="100"/>
      <c r="E134" s="41"/>
      <c r="F134" s="43" t="s">
        <v>69</v>
      </c>
      <c r="G134" s="43"/>
      <c r="H134" s="41"/>
      <c r="I134" s="41"/>
      <c r="J134" s="41" t="str">
        <f t="shared" si="8"/>
        <v/>
      </c>
      <c r="K134" s="41"/>
      <c r="L134" s="41"/>
      <c r="M134" s="41"/>
      <c r="N134" s="41"/>
    </row>
    <row r="135" spans="1:14" ht="15.75" customHeight="1" thickBot="1" x14ac:dyDescent="0.3">
      <c r="A135" s="76" t="s">
        <v>58</v>
      </c>
      <c r="B135" s="55">
        <v>37810</v>
      </c>
      <c r="C135" s="67" t="str">
        <f ca="1">INDEX(Modulliste!B:B,MATCH(INDIRECT(CONCATENATE("B",ROW())),Modulliste!A:A,0))</f>
        <v>Praktikum Kraftfahrzeuge</v>
      </c>
      <c r="D135" s="99"/>
      <c r="E135" s="41"/>
      <c r="F135" s="43" t="s">
        <v>70</v>
      </c>
      <c r="G135" s="43"/>
      <c r="H135" s="41"/>
      <c r="I135" s="41"/>
      <c r="J135" s="41" t="str">
        <f t="shared" si="8"/>
        <v/>
      </c>
      <c r="K135" s="41"/>
      <c r="L135" s="41"/>
      <c r="M135" s="41"/>
      <c r="N135" s="41"/>
    </row>
    <row r="136" spans="1:14" ht="7.5" customHeight="1" x14ac:dyDescent="0.25">
      <c r="A136" s="194"/>
      <c r="B136" s="194"/>
      <c r="C136" s="194"/>
      <c r="D136" s="194"/>
      <c r="E136" s="41"/>
      <c r="F136" s="43"/>
      <c r="G136" s="43"/>
      <c r="H136" s="41"/>
      <c r="I136" s="41"/>
      <c r="J136" s="41"/>
      <c r="K136" s="41"/>
      <c r="L136" s="41"/>
      <c r="M136" s="41"/>
      <c r="N136" s="41"/>
    </row>
    <row r="137" spans="1:14" ht="15.75" customHeight="1" x14ac:dyDescent="0.25">
      <c r="A137" s="203" t="s">
        <v>134</v>
      </c>
      <c r="B137" s="204"/>
      <c r="C137" s="204"/>
      <c r="D137" s="204"/>
      <c r="E137" s="41"/>
      <c r="F137" s="43"/>
      <c r="G137" s="43"/>
      <c r="H137" s="41"/>
      <c r="I137" s="41">
        <f>H138+I128</f>
        <v>0</v>
      </c>
      <c r="J137" s="41" t="str">
        <f>IF($H$138=1,CONCATENATE("SF ",$I$137),"")</f>
        <v/>
      </c>
      <c r="K137" s="41"/>
      <c r="L137" s="41"/>
      <c r="M137" s="41"/>
      <c r="N137" s="41"/>
    </row>
    <row r="138" spans="1:14" ht="15.75" customHeight="1" thickBot="1" x14ac:dyDescent="0.3">
      <c r="A138" s="72"/>
      <c r="B138" s="50" t="s">
        <v>2</v>
      </c>
      <c r="C138" s="51" t="s">
        <v>54</v>
      </c>
      <c r="D138" s="50" t="s">
        <v>39</v>
      </c>
      <c r="E138" s="41"/>
      <c r="F138" s="43"/>
      <c r="G138" s="43" t="s">
        <v>195</v>
      </c>
      <c r="H138" s="41">
        <f>IF(COUNTA(B_SF9)&gt;=1,1,0)</f>
        <v>0</v>
      </c>
      <c r="I138" s="41"/>
      <c r="J138" s="41"/>
      <c r="K138" s="41"/>
      <c r="L138" s="41"/>
      <c r="M138" s="41"/>
      <c r="N138" s="41"/>
    </row>
    <row r="139" spans="1:14" ht="15.75" customHeight="1" x14ac:dyDescent="0.25">
      <c r="A139" s="74" t="s">
        <v>55</v>
      </c>
      <c r="B139" s="59">
        <v>14010</v>
      </c>
      <c r="C139" s="60" t="str">
        <f ca="1">INDEX(Modulliste!B:B,MATCH(INDIRECT(CONCATENATE("B",ROW())),Modulliste!A:A,0))</f>
        <v>Kunststofftechnik - Grundlagen und Einführung</v>
      </c>
      <c r="D139" s="97"/>
      <c r="E139" s="41"/>
      <c r="F139" s="43" t="s">
        <v>67</v>
      </c>
      <c r="G139" s="43"/>
      <c r="H139" s="41"/>
      <c r="I139" s="41"/>
      <c r="J139" s="41" t="str">
        <f t="shared" ref="J139:J154" si="9">IF(AND($H$138=1,D139="x"),CONCATENATE(F139,$I$137),"")</f>
        <v/>
      </c>
      <c r="K139" s="41"/>
      <c r="L139" s="41"/>
      <c r="M139" s="41"/>
      <c r="N139" s="41"/>
    </row>
    <row r="140" spans="1:14" ht="15.75" customHeight="1" thickBot="1" x14ac:dyDescent="0.3">
      <c r="A140" s="195" t="s">
        <v>56</v>
      </c>
      <c r="B140" s="57">
        <v>37690</v>
      </c>
      <c r="C140" s="71" t="str">
        <f ca="1">INDEX(Modulliste!B:B,MATCH(INDIRECT(CONCATENATE("B",ROW())),Modulliste!A:A,0))</f>
        <v>Konstruieren mit Kunststoffen</v>
      </c>
      <c r="D140" s="95"/>
      <c r="E140" s="41"/>
      <c r="F140" s="43" t="s">
        <v>68</v>
      </c>
      <c r="G140" s="43"/>
      <c r="H140" s="41"/>
      <c r="I140" s="41"/>
      <c r="J140" s="41" t="str">
        <f t="shared" si="9"/>
        <v/>
      </c>
      <c r="K140" s="41"/>
      <c r="L140" s="41"/>
      <c r="M140" s="41"/>
      <c r="N140" s="41"/>
    </row>
    <row r="141" spans="1:14" ht="15.75" customHeight="1" thickBot="1" x14ac:dyDescent="0.3">
      <c r="A141" s="196"/>
      <c r="B141" s="52">
        <v>14010</v>
      </c>
      <c r="C141" s="54" t="str">
        <f ca="1">INDEX(Modulliste!B:B,MATCH(INDIRECT(CONCATENATE("B",ROW())),Modulliste!A:A,0))</f>
        <v>Kunststofftechnik - Grundlagen und Einführung</v>
      </c>
      <c r="D141" s="96"/>
      <c r="E141" s="41"/>
      <c r="F141" s="43" t="s">
        <v>68</v>
      </c>
      <c r="G141" s="43"/>
      <c r="H141" s="41"/>
      <c r="I141" s="41"/>
      <c r="J141" s="41" t="str">
        <f t="shared" si="9"/>
        <v/>
      </c>
      <c r="K141" s="41"/>
      <c r="L141" s="41"/>
      <c r="M141" s="41"/>
      <c r="N141" s="41"/>
    </row>
    <row r="142" spans="1:14" ht="15.75" customHeight="1" thickBot="1" x14ac:dyDescent="0.3">
      <c r="A142" s="196"/>
      <c r="B142" s="52">
        <v>32670</v>
      </c>
      <c r="C142" s="54" t="str">
        <f ca="1">INDEX(Modulliste!B:B,MATCH(INDIRECT(CONCATENATE("B",ROW())),Modulliste!A:A,0))</f>
        <v>Kunststoffverarbeitungstechnik</v>
      </c>
      <c r="D142" s="96"/>
      <c r="E142" s="41"/>
      <c r="F142" s="43" t="s">
        <v>68</v>
      </c>
      <c r="G142" s="43"/>
      <c r="H142" s="41"/>
      <c r="I142" s="41"/>
      <c r="J142" s="41" t="str">
        <f t="shared" si="9"/>
        <v/>
      </c>
      <c r="K142" s="41"/>
      <c r="L142" s="41"/>
      <c r="M142" s="41"/>
      <c r="N142" s="41"/>
    </row>
    <row r="143" spans="1:14" ht="15.75" customHeight="1" thickBot="1" x14ac:dyDescent="0.3">
      <c r="A143" s="196"/>
      <c r="B143" s="52">
        <v>41150</v>
      </c>
      <c r="C143" s="54" t="str">
        <f ca="1">INDEX(Modulliste!B:B,MATCH(INDIRECT(CONCATENATE("B",ROW())),Modulliste!A:A,0))</f>
        <v>Kunststoff-Werkstofftechnik</v>
      </c>
      <c r="D143" s="96"/>
      <c r="E143" s="41"/>
      <c r="F143" s="43" t="s">
        <v>68</v>
      </c>
      <c r="G143" s="43"/>
      <c r="H143" s="41"/>
      <c r="I143" s="41"/>
      <c r="J143" s="41" t="str">
        <f t="shared" si="9"/>
        <v/>
      </c>
      <c r="K143" s="41"/>
      <c r="L143" s="41"/>
      <c r="M143" s="41"/>
      <c r="N143" s="41"/>
    </row>
    <row r="144" spans="1:14" ht="15.75" customHeight="1" x14ac:dyDescent="0.25">
      <c r="A144" s="197"/>
      <c r="B144" s="59">
        <v>60540</v>
      </c>
      <c r="C144" s="62" t="str">
        <f ca="1">INDEX(Modulliste!B:B,MATCH(INDIRECT(CONCATENATE("B",ROW())),Modulliste!A:A,0))</f>
        <v>Methoden der zerstörungsfreien Prüfung</v>
      </c>
      <c r="D144" s="97"/>
      <c r="E144" s="41"/>
      <c r="F144" s="43" t="s">
        <v>68</v>
      </c>
      <c r="G144" s="43"/>
      <c r="H144" s="41"/>
      <c r="I144" s="41"/>
      <c r="J144" s="41" t="str">
        <f t="shared" si="9"/>
        <v/>
      </c>
      <c r="K144" s="41"/>
      <c r="L144" s="41"/>
      <c r="M144" s="41"/>
      <c r="N144" s="41"/>
    </row>
    <row r="145" spans="1:14" ht="15.75" customHeight="1" thickBot="1" x14ac:dyDescent="0.3">
      <c r="A145" s="195" t="s">
        <v>57</v>
      </c>
      <c r="B145" s="57">
        <v>74200</v>
      </c>
      <c r="C145" s="71" t="str">
        <f ca="1">INDEX(Modulliste!B:B,MATCH(INDIRECT(CONCATENATE("B",ROW())),Modulliste!A:A,0))</f>
        <v>Additive Fertigung</v>
      </c>
      <c r="D145" s="95"/>
      <c r="E145" s="41"/>
      <c r="F145" s="43" t="s">
        <v>69</v>
      </c>
      <c r="G145" s="43"/>
      <c r="H145" s="41"/>
      <c r="I145" s="41"/>
      <c r="J145" s="41" t="str">
        <f t="shared" si="9"/>
        <v/>
      </c>
      <c r="K145" s="41"/>
      <c r="L145" s="41"/>
      <c r="M145" s="41"/>
      <c r="N145" s="41"/>
    </row>
    <row r="146" spans="1:14" ht="15.75" customHeight="1" thickBot="1" x14ac:dyDescent="0.3">
      <c r="A146" s="196"/>
      <c r="B146" s="52">
        <v>102710</v>
      </c>
      <c r="C146" s="54" t="str">
        <f ca="1">INDEX(Modulliste!B:B,MATCH(INDIRECT(CONCATENATE("B",ROW())),Modulliste!A:A,0))</f>
        <v>Erfolgreich entwickeln mit Step/Gateway-Prozessen – Theorie und Praxis</v>
      </c>
      <c r="D146" s="96"/>
      <c r="E146" s="41"/>
      <c r="F146" s="43" t="s">
        <v>69</v>
      </c>
      <c r="G146" s="43"/>
      <c r="H146" s="41"/>
      <c r="I146" s="41"/>
      <c r="J146" s="41" t="str">
        <f t="shared" si="9"/>
        <v/>
      </c>
      <c r="K146" s="41"/>
      <c r="L146" s="41"/>
      <c r="M146" s="41"/>
      <c r="N146" s="41"/>
    </row>
    <row r="147" spans="1:14" ht="15.75" customHeight="1" thickBot="1" x14ac:dyDescent="0.3">
      <c r="A147" s="196"/>
      <c r="B147" s="52">
        <v>60570</v>
      </c>
      <c r="C147" s="54" t="str">
        <f ca="1">INDEX(Modulliste!B:B,MATCH(INDIRECT(CONCATENATE("B",ROW())),Modulliste!A:A,0))</f>
        <v>Faserkunststoffverbunde</v>
      </c>
      <c r="D147" s="96"/>
      <c r="E147" s="41"/>
      <c r="F147" s="43" t="s">
        <v>69</v>
      </c>
      <c r="G147" s="43"/>
      <c r="H147" s="41"/>
      <c r="I147" s="41"/>
      <c r="J147" s="41" t="str">
        <f t="shared" si="9"/>
        <v/>
      </c>
      <c r="K147" s="41"/>
      <c r="L147" s="41"/>
      <c r="M147" s="41"/>
      <c r="N147" s="41"/>
    </row>
    <row r="148" spans="1:14" ht="15.75" customHeight="1" thickBot="1" x14ac:dyDescent="0.3">
      <c r="A148" s="196"/>
      <c r="B148" s="52">
        <v>39960</v>
      </c>
      <c r="C148" s="54" t="str">
        <f ca="1">INDEX(Modulliste!B:B,MATCH(INDIRECT(CONCATENATE("B",ROW())),Modulliste!A:A,0))</f>
        <v>Grundlagen der zerstörungsfreien Prüfung</v>
      </c>
      <c r="D148" s="96"/>
      <c r="E148" s="41"/>
      <c r="F148" s="43" t="s">
        <v>69</v>
      </c>
      <c r="G148" s="43"/>
      <c r="H148" s="41"/>
      <c r="I148" s="41"/>
      <c r="J148" s="41" t="str">
        <f t="shared" si="9"/>
        <v/>
      </c>
      <c r="K148" s="41"/>
      <c r="L148" s="41"/>
      <c r="M148" s="41"/>
      <c r="N148" s="41"/>
    </row>
    <row r="149" spans="1:14" ht="15.75" customHeight="1" thickBot="1" x14ac:dyDescent="0.3">
      <c r="A149" s="196"/>
      <c r="B149" s="52">
        <v>68040</v>
      </c>
      <c r="C149" s="54" t="str">
        <f ca="1">INDEX(Modulliste!B:B,MATCH(INDIRECT(CONCATENATE("B",ROW())),Modulliste!A:A,0))</f>
        <v>Kunststoffe in der Medizintechnik</v>
      </c>
      <c r="D149" s="96"/>
      <c r="E149" s="41"/>
      <c r="F149" s="43" t="s">
        <v>69</v>
      </c>
      <c r="G149" s="43"/>
      <c r="H149" s="41"/>
      <c r="I149" s="41"/>
      <c r="J149" s="41" t="str">
        <f t="shared" si="9"/>
        <v/>
      </c>
      <c r="K149" s="41"/>
      <c r="L149" s="41"/>
      <c r="M149" s="41"/>
      <c r="N149" s="41"/>
    </row>
    <row r="150" spans="1:14" ht="15.75" customHeight="1" thickBot="1" x14ac:dyDescent="0.3">
      <c r="A150" s="196"/>
      <c r="B150" s="52">
        <v>36910</v>
      </c>
      <c r="C150" s="54" t="str">
        <f ca="1">INDEX(Modulliste!B:B,MATCH(INDIRECT(CONCATENATE("B",ROW())),Modulliste!A:A,0))</f>
        <v>Mehrphasenströmungen</v>
      </c>
      <c r="D150" s="96"/>
      <c r="E150" s="41"/>
      <c r="F150" s="43" t="s">
        <v>69</v>
      </c>
      <c r="G150" s="43"/>
      <c r="H150" s="41"/>
      <c r="I150" s="41"/>
      <c r="J150" s="41" t="str">
        <f t="shared" si="9"/>
        <v/>
      </c>
      <c r="K150" s="41"/>
      <c r="L150" s="41"/>
      <c r="M150" s="41"/>
      <c r="N150" s="41"/>
    </row>
    <row r="151" spans="1:14" ht="15.75" customHeight="1" thickBot="1" x14ac:dyDescent="0.3">
      <c r="A151" s="196"/>
      <c r="B151" s="52">
        <v>32700</v>
      </c>
      <c r="C151" s="54" t="str">
        <f ca="1">INDEX(Modulliste!B:B,MATCH(INDIRECT(CONCATENATE("B",ROW())),Modulliste!A:A,0))</f>
        <v>Rheologie und Rheometrie der Kunststoffe</v>
      </c>
      <c r="D151" s="96"/>
      <c r="E151" s="41"/>
      <c r="F151" s="43" t="s">
        <v>69</v>
      </c>
      <c r="G151" s="43"/>
      <c r="H151" s="41"/>
      <c r="I151" s="41"/>
      <c r="J151" s="41" t="str">
        <f t="shared" si="9"/>
        <v/>
      </c>
      <c r="K151" s="41"/>
      <c r="L151" s="41"/>
      <c r="M151" s="41"/>
      <c r="N151" s="41"/>
    </row>
    <row r="152" spans="1:14" ht="15.75" customHeight="1" thickBot="1" x14ac:dyDescent="0.3">
      <c r="A152" s="196"/>
      <c r="B152" s="52">
        <v>56310</v>
      </c>
      <c r="C152" s="54" t="str">
        <f ca="1">INDEX(Modulliste!B:B,MATCH(INDIRECT(CONCATENATE("B",ROW())),Modulliste!A:A,0))</f>
        <v>Simulation in der Kunststoffverarbeitung</v>
      </c>
      <c r="D152" s="96"/>
      <c r="E152" s="41"/>
      <c r="F152" s="43" t="s">
        <v>69</v>
      </c>
      <c r="G152" s="43"/>
      <c r="H152" s="41"/>
      <c r="I152" s="41"/>
      <c r="J152" s="41" t="str">
        <f t="shared" si="9"/>
        <v/>
      </c>
      <c r="K152" s="41"/>
      <c r="L152" s="41"/>
      <c r="M152" s="41"/>
      <c r="N152" s="41"/>
    </row>
    <row r="153" spans="1:14" ht="15.75" customHeight="1" x14ac:dyDescent="0.25">
      <c r="A153" s="197"/>
      <c r="B153" s="59">
        <v>41160</v>
      </c>
      <c r="C153" s="62" t="str">
        <f ca="1">INDEX(Modulliste!B:B,MATCH(INDIRECT(CONCATENATE("B",ROW())),Modulliste!A:A,0))</f>
        <v>Technologiemanagement für Kunststoffprodukte</v>
      </c>
      <c r="D153" s="97"/>
      <c r="E153" s="41"/>
      <c r="F153" s="43" t="s">
        <v>69</v>
      </c>
      <c r="G153" s="43"/>
      <c r="H153" s="41"/>
      <c r="I153" s="41"/>
      <c r="J153" s="41" t="str">
        <f t="shared" si="9"/>
        <v/>
      </c>
      <c r="K153" s="41"/>
      <c r="L153" s="41"/>
      <c r="M153" s="41"/>
      <c r="N153" s="41"/>
    </row>
    <row r="154" spans="1:14" ht="15.75" customHeight="1" thickBot="1" x14ac:dyDescent="0.3">
      <c r="A154" s="76" t="s">
        <v>58</v>
      </c>
      <c r="B154" s="55">
        <v>33790</v>
      </c>
      <c r="C154" s="67" t="str">
        <f ca="1">INDEX(Modulliste!B:B,MATCH(INDIRECT(CONCATENATE("B",ROW())),Modulliste!A:A,0))</f>
        <v>Praktikum Kunststofftechnik</v>
      </c>
      <c r="D154" s="99"/>
      <c r="E154" s="41"/>
      <c r="F154" s="43" t="s">
        <v>70</v>
      </c>
      <c r="G154" s="43"/>
      <c r="H154" s="41"/>
      <c r="I154" s="41"/>
      <c r="J154" s="41" t="str">
        <f t="shared" si="9"/>
        <v/>
      </c>
      <c r="K154" s="41"/>
      <c r="L154" s="41"/>
      <c r="M154" s="41"/>
      <c r="N154" s="41"/>
    </row>
    <row r="155" spans="1:14" ht="7.5" customHeight="1" x14ac:dyDescent="0.25">
      <c r="A155" s="194"/>
      <c r="B155" s="194"/>
      <c r="C155" s="194"/>
      <c r="D155" s="194"/>
      <c r="E155" s="41"/>
      <c r="F155" s="43"/>
      <c r="G155" s="43"/>
      <c r="H155" s="41"/>
      <c r="I155" s="41"/>
      <c r="J155" s="41"/>
      <c r="K155" s="41"/>
      <c r="L155" s="41"/>
      <c r="M155" s="41"/>
      <c r="N155" s="41"/>
    </row>
    <row r="156" spans="1:14" ht="15.75" customHeight="1" x14ac:dyDescent="0.25">
      <c r="A156" s="203" t="s">
        <v>158</v>
      </c>
      <c r="B156" s="204"/>
      <c r="C156" s="204"/>
      <c r="D156" s="204"/>
      <c r="E156" s="41"/>
      <c r="F156" s="43"/>
      <c r="G156" s="43"/>
      <c r="H156" s="41"/>
      <c r="I156" s="41">
        <f>H157+I137</f>
        <v>0</v>
      </c>
      <c r="J156" s="41" t="str">
        <f>IF($H$157=1,CONCATENATE("SF ",$I$156),"")</f>
        <v/>
      </c>
      <c r="K156" s="41"/>
      <c r="L156" s="41"/>
      <c r="M156" s="41"/>
      <c r="N156" s="41"/>
    </row>
    <row r="157" spans="1:14" ht="15.75" customHeight="1" thickBot="1" x14ac:dyDescent="0.3">
      <c r="A157" s="79"/>
      <c r="B157" s="80" t="s">
        <v>2</v>
      </c>
      <c r="C157" s="81" t="s">
        <v>54</v>
      </c>
      <c r="D157" s="80" t="s">
        <v>39</v>
      </c>
      <c r="E157" s="41"/>
      <c r="F157" s="43"/>
      <c r="G157" s="43" t="s">
        <v>196</v>
      </c>
      <c r="H157" s="41">
        <f>IF(COUNTA(B_SF10)&gt;=1,1,0)</f>
        <v>0</v>
      </c>
      <c r="I157" s="41"/>
      <c r="J157" s="41"/>
      <c r="K157" s="41"/>
      <c r="L157" s="41"/>
      <c r="M157" s="41"/>
      <c r="N157" s="41"/>
    </row>
    <row r="158" spans="1:14" ht="15.75" customHeight="1" thickBot="1" x14ac:dyDescent="0.3">
      <c r="A158" s="201" t="s">
        <v>55</v>
      </c>
      <c r="B158" s="55">
        <v>32240</v>
      </c>
      <c r="C158" s="67" t="str">
        <f ca="1">INDEX(Modulliste!B:B,MATCH(INDIRECT(CONCATENATE("B",ROW())),Modulliste!A:A,0))</f>
        <v>Aufbau- und Verbindungstechnik - Sensor- und Systemaufbau</v>
      </c>
      <c r="D158" s="99"/>
      <c r="E158" s="41"/>
      <c r="F158" s="43" t="s">
        <v>67</v>
      </c>
      <c r="G158" s="43"/>
      <c r="H158" s="41"/>
      <c r="I158" s="41"/>
      <c r="J158" s="41" t="str">
        <f t="shared" ref="J158:J174" si="10">IF(AND($H$157=1,D158="x"),CONCATENATE(F158,$I$156),"")</f>
        <v/>
      </c>
      <c r="K158" s="41"/>
      <c r="L158" s="41"/>
      <c r="M158" s="41"/>
      <c r="N158" s="41"/>
    </row>
    <row r="159" spans="1:14" ht="15.75" customHeight="1" thickBot="1" x14ac:dyDescent="0.3">
      <c r="A159" s="196"/>
      <c r="B159" s="52">
        <v>33760</v>
      </c>
      <c r="C159" s="54" t="str">
        <f ca="1">INDEX(Modulliste!B:B,MATCH(INDIRECT(CONCATENATE("B",ROW())),Modulliste!A:A,0))</f>
        <v>Aufbau- und Verbindungstechnik für Mikrosystemtechnik - Technologien</v>
      </c>
      <c r="D159" s="96"/>
      <c r="E159" s="41"/>
      <c r="F159" s="43" t="s">
        <v>67</v>
      </c>
      <c r="G159" s="43"/>
      <c r="H159" s="41"/>
      <c r="I159" s="41"/>
      <c r="J159" s="41" t="str">
        <f t="shared" si="10"/>
        <v/>
      </c>
      <c r="K159" s="41"/>
      <c r="L159" s="41"/>
      <c r="M159" s="41"/>
      <c r="N159" s="41"/>
    </row>
    <row r="160" spans="1:14" ht="15.75" customHeight="1" x14ac:dyDescent="0.25">
      <c r="A160" s="197"/>
      <c r="B160" s="59">
        <v>13540</v>
      </c>
      <c r="C160" s="62" t="str">
        <f ca="1">INDEX(Modulliste!B:B,MATCH(INDIRECT(CONCATENATE("B",ROW())),Modulliste!A:A,0))</f>
        <v>Grundlagen der Mikro- und Mikrosystemtechnik</v>
      </c>
      <c r="D160" s="97"/>
      <c r="E160" s="41"/>
      <c r="F160" s="43" t="s">
        <v>67</v>
      </c>
      <c r="G160" s="43"/>
      <c r="H160" s="41"/>
      <c r="I160" s="41"/>
      <c r="J160" s="41" t="str">
        <f t="shared" si="10"/>
        <v/>
      </c>
      <c r="K160" s="41"/>
      <c r="L160" s="41"/>
      <c r="M160" s="41"/>
      <c r="N160" s="41"/>
    </row>
    <row r="161" spans="1:14" ht="15.75" customHeight="1" thickBot="1" x14ac:dyDescent="0.3">
      <c r="A161" s="195" t="s">
        <v>56</v>
      </c>
      <c r="B161" s="57">
        <v>32730</v>
      </c>
      <c r="C161" s="71" t="str">
        <f ca="1">INDEX(Modulliste!B:B,MATCH(INDIRECT(CONCATENATE("B",ROW())),Modulliste!A:A,0))</f>
        <v>Aktorik in der Gerätetechnik; Konstruktion, Berechnung und Anwendung mechatronischer Komponenten</v>
      </c>
      <c r="D161" s="95"/>
      <c r="E161" s="41"/>
      <c r="F161" s="43" t="s">
        <v>68</v>
      </c>
      <c r="G161" s="43"/>
      <c r="H161" s="41"/>
      <c r="I161" s="41"/>
      <c r="J161" s="41" t="str">
        <f t="shared" si="10"/>
        <v/>
      </c>
      <c r="K161" s="41"/>
      <c r="L161" s="41"/>
      <c r="M161" s="41"/>
      <c r="N161" s="41"/>
    </row>
    <row r="162" spans="1:14" ht="15.75" customHeight="1" thickBot="1" x14ac:dyDescent="0.3">
      <c r="A162" s="196"/>
      <c r="B162" s="52">
        <v>32240</v>
      </c>
      <c r="C162" s="54" t="str">
        <f ca="1">INDEX(Modulliste!B:B,MATCH(INDIRECT(CONCATENATE("B",ROW())),Modulliste!A:A,0))</f>
        <v>Aufbau- und Verbindungstechnik - Sensor- und Systemaufbau</v>
      </c>
      <c r="D162" s="96"/>
      <c r="E162" s="41"/>
      <c r="F162" s="43" t="s">
        <v>68</v>
      </c>
      <c r="G162" s="43"/>
      <c r="H162" s="41"/>
      <c r="I162" s="41"/>
      <c r="J162" s="41" t="str">
        <f t="shared" si="10"/>
        <v/>
      </c>
      <c r="K162" s="41"/>
      <c r="L162" s="41"/>
      <c r="M162" s="41"/>
      <c r="N162" s="41"/>
    </row>
    <row r="163" spans="1:14" ht="15.75" customHeight="1" thickBot="1" x14ac:dyDescent="0.3">
      <c r="A163" s="196"/>
      <c r="B163" s="52">
        <v>33760</v>
      </c>
      <c r="C163" s="54" t="str">
        <f ca="1">INDEX(Modulliste!B:B,MATCH(INDIRECT(CONCATENATE("B",ROW())),Modulliste!A:A,0))</f>
        <v>Aufbau- und Verbindungstechnik für Mikrosystemtechnik - Technologien</v>
      </c>
      <c r="D163" s="96"/>
      <c r="E163" s="41"/>
      <c r="F163" s="43" t="s">
        <v>68</v>
      </c>
      <c r="G163" s="43"/>
      <c r="H163" s="41"/>
      <c r="I163" s="41"/>
      <c r="J163" s="41" t="str">
        <f t="shared" si="10"/>
        <v/>
      </c>
      <c r="K163" s="41"/>
      <c r="L163" s="41"/>
      <c r="M163" s="41"/>
      <c r="N163" s="41"/>
    </row>
    <row r="164" spans="1:14" ht="15.75" customHeight="1" thickBot="1" x14ac:dyDescent="0.3">
      <c r="A164" s="196"/>
      <c r="B164" s="52">
        <v>32250</v>
      </c>
      <c r="C164" s="54" t="str">
        <f ca="1">INDEX(Modulliste!B:B,MATCH(INDIRECT(CONCATENATE("B",ROW())),Modulliste!A:A,0))</f>
        <v>Design und Fertigung mikro- und nanoelektronischer Systeme</v>
      </c>
      <c r="D164" s="96"/>
      <c r="E164" s="41"/>
      <c r="F164" s="43" t="s">
        <v>68</v>
      </c>
      <c r="G164" s="43"/>
      <c r="H164" s="41"/>
      <c r="I164" s="41"/>
      <c r="J164" s="41" t="str">
        <f t="shared" si="10"/>
        <v/>
      </c>
      <c r="K164" s="41"/>
      <c r="L164" s="41"/>
      <c r="M164" s="41"/>
      <c r="N164" s="41"/>
    </row>
    <row r="165" spans="1:14" ht="15.75" customHeight="1" thickBot="1" x14ac:dyDescent="0.3">
      <c r="A165" s="196"/>
      <c r="B165" s="52">
        <v>32220</v>
      </c>
      <c r="C165" s="54" t="str">
        <f ca="1">INDEX(Modulliste!B:B,MATCH(INDIRECT(CONCATENATE("B",ROW())),Modulliste!A:A,0))</f>
        <v>Grundlagen der Biomedizinischen Technik</v>
      </c>
      <c r="D165" s="96"/>
      <c r="E165" s="41"/>
      <c r="F165" s="43" t="s">
        <v>68</v>
      </c>
      <c r="G165" s="43"/>
      <c r="H165" s="41"/>
      <c r="I165" s="41"/>
      <c r="J165" s="41" t="str">
        <f t="shared" si="10"/>
        <v/>
      </c>
      <c r="K165" s="41"/>
      <c r="L165" s="41"/>
      <c r="M165" s="41"/>
      <c r="N165" s="41"/>
    </row>
    <row r="166" spans="1:14" ht="15.75" customHeight="1" thickBot="1" x14ac:dyDescent="0.3">
      <c r="A166" s="196"/>
      <c r="B166" s="52">
        <v>13540</v>
      </c>
      <c r="C166" s="54" t="str">
        <f ca="1">INDEX(Modulliste!B:B,MATCH(INDIRECT(CONCATENATE("B",ROW())),Modulliste!A:A,0))</f>
        <v>Grundlagen der Mikro- und Mikrosystemtechnik</v>
      </c>
      <c r="D166" s="96"/>
      <c r="E166" s="41"/>
      <c r="F166" s="43" t="s">
        <v>68</v>
      </c>
      <c r="G166" s="43"/>
      <c r="H166" s="41"/>
      <c r="I166" s="41"/>
      <c r="J166" s="41" t="str">
        <f t="shared" si="10"/>
        <v/>
      </c>
      <c r="K166" s="41"/>
      <c r="L166" s="41"/>
      <c r="M166" s="41"/>
      <c r="N166" s="41"/>
    </row>
    <row r="167" spans="1:14" ht="15.75" customHeight="1" thickBot="1" x14ac:dyDescent="0.3">
      <c r="A167" s="196"/>
      <c r="B167" s="52">
        <v>33710</v>
      </c>
      <c r="C167" s="54" t="str">
        <f ca="1">INDEX(Modulliste!B:B,MATCH(INDIRECT(CONCATENATE("B",ROW())),Modulliste!A:A,0))</f>
        <v>Optische Messtechnik und Messverfahren</v>
      </c>
      <c r="D167" s="96"/>
      <c r="E167" s="41"/>
      <c r="F167" s="43" t="s">
        <v>68</v>
      </c>
      <c r="G167" s="43"/>
      <c r="H167" s="41"/>
      <c r="I167" s="41"/>
      <c r="J167" s="41" t="str">
        <f t="shared" si="10"/>
        <v/>
      </c>
      <c r="K167" s="41"/>
      <c r="L167" s="41"/>
      <c r="M167" s="41"/>
      <c r="N167" s="41"/>
    </row>
    <row r="168" spans="1:14" ht="15.75" customHeight="1" x14ac:dyDescent="0.25">
      <c r="A168" s="197"/>
      <c r="B168" s="59">
        <v>13580</v>
      </c>
      <c r="C168" s="62" t="str">
        <f ca="1">INDEX(Modulliste!B:B,MATCH(INDIRECT(CONCATENATE("B",ROW())),Modulliste!A:A,0))</f>
        <v>Wissens- und Informationsmanagement in der Produktion</v>
      </c>
      <c r="D168" s="97"/>
      <c r="E168" s="41"/>
      <c r="F168" s="43" t="s">
        <v>68</v>
      </c>
      <c r="G168" s="43"/>
      <c r="H168" s="41"/>
      <c r="I168" s="41"/>
      <c r="J168" s="41" t="str">
        <f t="shared" si="10"/>
        <v/>
      </c>
      <c r="K168" s="41"/>
      <c r="L168" s="41"/>
      <c r="M168" s="41"/>
      <c r="N168" s="41"/>
    </row>
    <row r="169" spans="1:14" ht="15.75" customHeight="1" thickBot="1" x14ac:dyDescent="0.3">
      <c r="A169" s="195" t="s">
        <v>57</v>
      </c>
      <c r="B169" s="57">
        <v>33310</v>
      </c>
      <c r="C169" s="71" t="str">
        <f ca="1">INDEX(Modulliste!B:B,MATCH(INDIRECT(CONCATENATE("B",ROW())),Modulliste!A:A,0))</f>
        <v>Elektronik für Feinwerktechniker</v>
      </c>
      <c r="D169" s="95"/>
      <c r="E169" s="41"/>
      <c r="F169" s="43" t="s">
        <v>69</v>
      </c>
      <c r="G169" s="43"/>
      <c r="H169" s="41"/>
      <c r="I169" s="41"/>
      <c r="J169" s="41" t="str">
        <f t="shared" si="10"/>
        <v/>
      </c>
      <c r="K169" s="41"/>
      <c r="L169" s="41"/>
      <c r="M169" s="41"/>
      <c r="N169" s="41"/>
    </row>
    <row r="170" spans="1:14" ht="15.75" customHeight="1" thickBot="1" x14ac:dyDescent="0.3">
      <c r="A170" s="196"/>
      <c r="B170" s="52">
        <v>32880</v>
      </c>
      <c r="C170" s="54" t="str">
        <f ca="1">INDEX(Modulliste!B:B,MATCH(INDIRECT(CONCATENATE("B",ROW())),Modulliste!A:A,0))</f>
        <v>Elektronische Bauelemente in der Mikrosystemtechnik</v>
      </c>
      <c r="D170" s="96"/>
      <c r="E170" s="41"/>
      <c r="F170" s="43" t="s">
        <v>69</v>
      </c>
      <c r="G170" s="43"/>
      <c r="H170" s="41"/>
      <c r="I170" s="41"/>
      <c r="J170" s="41" t="str">
        <f t="shared" si="10"/>
        <v/>
      </c>
      <c r="K170" s="41"/>
      <c r="L170" s="41"/>
      <c r="M170" s="41"/>
      <c r="N170" s="41"/>
    </row>
    <row r="171" spans="1:14" ht="15.75" customHeight="1" thickBot="1" x14ac:dyDescent="0.3">
      <c r="A171" s="196"/>
      <c r="B171" s="52">
        <v>76140</v>
      </c>
      <c r="C171" s="54" t="str">
        <f ca="1">INDEX(Modulliste!B:B,MATCH(INDIRECT(CONCATENATE("B",ROW())),Modulliste!A:A,0))</f>
        <v xml:space="preserve">Fluidische Mikrosysteme </v>
      </c>
      <c r="D171" s="96"/>
      <c r="E171" s="41"/>
      <c r="F171" s="43" t="s">
        <v>69</v>
      </c>
      <c r="G171" s="43"/>
      <c r="H171" s="41"/>
      <c r="I171" s="41"/>
      <c r="J171" s="41" t="str">
        <f t="shared" si="10"/>
        <v/>
      </c>
      <c r="K171" s="41"/>
      <c r="L171" s="41"/>
      <c r="M171" s="41"/>
      <c r="N171" s="41"/>
    </row>
    <row r="172" spans="1:14" ht="15.75" customHeight="1" thickBot="1" x14ac:dyDescent="0.3">
      <c r="A172" s="196"/>
      <c r="B172" s="52">
        <v>76150</v>
      </c>
      <c r="C172" s="54" t="str">
        <f ca="1">INDEX(Modulliste!B:B,MATCH(INDIRECT(CONCATENATE("B",ROW())),Modulliste!A:A,0))</f>
        <v>Optische Mikrosysteme</v>
      </c>
      <c r="D172" s="96"/>
      <c r="E172" s="41"/>
      <c r="F172" s="43" t="s">
        <v>69</v>
      </c>
      <c r="G172" s="43"/>
      <c r="H172" s="41"/>
      <c r="I172" s="41"/>
      <c r="J172" s="41" t="str">
        <f t="shared" si="10"/>
        <v/>
      </c>
      <c r="K172" s="41"/>
      <c r="L172" s="41"/>
      <c r="M172" s="41"/>
      <c r="N172" s="41"/>
    </row>
    <row r="173" spans="1:14" ht="15.75" customHeight="1" x14ac:dyDescent="0.25">
      <c r="A173" s="197"/>
      <c r="B173" s="59">
        <v>33470</v>
      </c>
      <c r="C173" s="62" t="str">
        <f ca="1">INDEX(Modulliste!B:B,MATCH(INDIRECT(CONCATENATE("B",ROW())),Modulliste!A:A,0))</f>
        <v>Übungen zur Biomedizinischen Technik</v>
      </c>
      <c r="D173" s="97"/>
      <c r="E173" s="41"/>
      <c r="F173" s="43" t="s">
        <v>69</v>
      </c>
      <c r="G173" s="43"/>
      <c r="H173" s="41"/>
      <c r="I173" s="41"/>
      <c r="J173" s="41" t="str">
        <f t="shared" si="10"/>
        <v/>
      </c>
      <c r="K173" s="41"/>
      <c r="L173" s="41"/>
      <c r="M173" s="41"/>
      <c r="N173" s="41"/>
    </row>
    <row r="174" spans="1:14" ht="15.75" customHeight="1" thickBot="1" x14ac:dyDescent="0.3">
      <c r="A174" s="76" t="s">
        <v>58</v>
      </c>
      <c r="B174" s="55">
        <v>33810</v>
      </c>
      <c r="C174" s="67" t="str">
        <f ca="1">INDEX(Modulliste!B:B,MATCH(INDIRECT(CONCATENATE("B",ROW())),Modulliste!A:A,0))</f>
        <v>Praktikum Mikrosytemtechnik</v>
      </c>
      <c r="D174" s="99"/>
      <c r="E174" s="41"/>
      <c r="F174" s="43" t="s">
        <v>70</v>
      </c>
      <c r="G174" s="43"/>
      <c r="H174" s="41"/>
      <c r="I174" s="41"/>
      <c r="J174" s="41" t="str">
        <f t="shared" si="10"/>
        <v/>
      </c>
      <c r="K174" s="41"/>
      <c r="L174" s="41"/>
      <c r="M174" s="41"/>
      <c r="N174" s="41"/>
    </row>
    <row r="175" spans="1:14" ht="7.5" customHeight="1" x14ac:dyDescent="0.25">
      <c r="A175" s="194"/>
      <c r="B175" s="194"/>
      <c r="C175" s="194"/>
      <c r="D175" s="194"/>
      <c r="E175" s="41"/>
      <c r="F175" s="43"/>
      <c r="G175" s="43"/>
      <c r="H175" s="41"/>
      <c r="I175" s="41"/>
      <c r="J175" s="41"/>
      <c r="K175" s="41"/>
      <c r="L175" s="41"/>
      <c r="M175" s="41"/>
      <c r="N175" s="41"/>
    </row>
    <row r="176" spans="1:14" ht="15.75" customHeight="1" x14ac:dyDescent="0.25">
      <c r="A176" s="203" t="s">
        <v>146</v>
      </c>
      <c r="B176" s="204"/>
      <c r="C176" s="204"/>
      <c r="D176" s="204"/>
      <c r="E176" s="41"/>
      <c r="F176" s="43"/>
      <c r="G176" s="43"/>
      <c r="H176" s="41"/>
      <c r="I176" s="41">
        <f>H177+I156</f>
        <v>0</v>
      </c>
      <c r="J176" s="41" t="str">
        <f>IF($H$177=1,CONCATENATE("SF ",$I$176),"")</f>
        <v/>
      </c>
      <c r="K176" s="41"/>
      <c r="L176" s="41"/>
      <c r="M176" s="41"/>
      <c r="N176" s="41"/>
    </row>
    <row r="177" spans="1:14" ht="15.75" customHeight="1" thickBot="1" x14ac:dyDescent="0.3">
      <c r="A177" s="79"/>
      <c r="B177" s="80" t="s">
        <v>2</v>
      </c>
      <c r="C177" s="81" t="s">
        <v>54</v>
      </c>
      <c r="D177" s="80" t="s">
        <v>39</v>
      </c>
      <c r="E177" s="41"/>
      <c r="F177" s="43"/>
      <c r="G177" s="43" t="s">
        <v>197</v>
      </c>
      <c r="H177" s="41">
        <f>IF(COUNTA(B_SF11)&gt;=1,1,0)</f>
        <v>0</v>
      </c>
      <c r="I177" s="41"/>
      <c r="J177" s="41"/>
      <c r="K177" s="41"/>
      <c r="L177" s="41"/>
      <c r="M177" s="41"/>
      <c r="N177" s="41"/>
    </row>
    <row r="178" spans="1:14" ht="15.75" customHeight="1" thickBot="1" x14ac:dyDescent="0.3">
      <c r="A178" s="201" t="s">
        <v>55</v>
      </c>
      <c r="B178" s="55">
        <v>68610</v>
      </c>
      <c r="C178" s="67" t="str">
        <f ca="1">INDEX(Modulliste!B:B,MATCH(INDIRECT(CONCATENATE("B",ROW())),Modulliste!A:A,0))</f>
        <v>Das System Bahn: Akteure, Prozesse, Regelwerke</v>
      </c>
      <c r="D178" s="99"/>
      <c r="E178" s="41"/>
      <c r="F178" s="43" t="s">
        <v>67</v>
      </c>
      <c r="G178" s="43"/>
      <c r="H178" s="41"/>
      <c r="I178" s="41"/>
      <c r="J178" s="41" t="str">
        <f t="shared" ref="J178:J186" si="11">IF(AND($H$177=1,D178="x"),CONCATENATE(F178,$I$176),"")</f>
        <v/>
      </c>
      <c r="K178" s="41"/>
      <c r="L178" s="41"/>
      <c r="M178" s="41"/>
      <c r="N178" s="41"/>
    </row>
    <row r="179" spans="1:14" ht="15.75" customHeight="1" x14ac:dyDescent="0.25">
      <c r="A179" s="197"/>
      <c r="B179" s="59">
        <v>67290</v>
      </c>
      <c r="C179" s="62" t="str">
        <f ca="1">INDEX(Modulliste!B:B,MATCH(INDIRECT(CONCATENATE("B",ROW())),Modulliste!A:A,0))</f>
        <v>Grundlagen Schienenfahrzeugtechnik und -betrieb</v>
      </c>
      <c r="D179" s="97"/>
      <c r="E179" s="41"/>
      <c r="F179" s="43" t="s">
        <v>67</v>
      </c>
      <c r="G179" s="43"/>
      <c r="H179" s="41"/>
      <c r="I179" s="41"/>
      <c r="J179" s="41" t="str">
        <f t="shared" si="11"/>
        <v/>
      </c>
      <c r="K179" s="41"/>
      <c r="L179" s="41"/>
      <c r="M179" s="41"/>
      <c r="N179" s="41"/>
    </row>
    <row r="180" spans="1:14" ht="15.75" customHeight="1" thickBot="1" x14ac:dyDescent="0.3">
      <c r="A180" s="195" t="s">
        <v>56</v>
      </c>
      <c r="B180" s="57">
        <v>68610</v>
      </c>
      <c r="C180" s="71" t="str">
        <f ca="1">INDEX(Modulliste!B:B,MATCH(INDIRECT(CONCATENATE("B",ROW())),Modulliste!A:A,0))</f>
        <v>Das System Bahn: Akteure, Prozesse, Regelwerke</v>
      </c>
      <c r="D180" s="95"/>
      <c r="E180" s="41"/>
      <c r="F180" s="43" t="s">
        <v>68</v>
      </c>
      <c r="G180" s="43"/>
      <c r="H180" s="41"/>
      <c r="I180" s="41"/>
      <c r="J180" s="41" t="str">
        <f t="shared" si="11"/>
        <v/>
      </c>
      <c r="K180" s="41"/>
      <c r="L180" s="41"/>
      <c r="M180" s="41"/>
      <c r="N180" s="41"/>
    </row>
    <row r="181" spans="1:14" ht="15.75" customHeight="1" thickBot="1" x14ac:dyDescent="0.3">
      <c r="A181" s="196"/>
      <c r="B181" s="52">
        <v>67290</v>
      </c>
      <c r="C181" s="54" t="str">
        <f ca="1">INDEX(Modulliste!B:B,MATCH(INDIRECT(CONCATENATE("B",ROW())),Modulliste!A:A,0))</f>
        <v>Grundlagen Schienenfahrzeugtechnik und -betrieb</v>
      </c>
      <c r="D181" s="96"/>
      <c r="E181" s="41"/>
      <c r="F181" s="43" t="s">
        <v>68</v>
      </c>
      <c r="G181" s="43"/>
      <c r="H181" s="41"/>
      <c r="I181" s="41"/>
      <c r="J181" s="41" t="str">
        <f t="shared" si="11"/>
        <v/>
      </c>
      <c r="K181" s="41"/>
      <c r="L181" s="41"/>
      <c r="M181" s="41"/>
      <c r="N181" s="41"/>
    </row>
    <row r="182" spans="1:14" ht="15.75" customHeight="1" x14ac:dyDescent="0.25">
      <c r="A182" s="197"/>
      <c r="B182" s="59">
        <v>67300</v>
      </c>
      <c r="C182" s="62" t="str">
        <f ca="1">INDEX(Modulliste!B:B,MATCH(INDIRECT(CONCATENATE("B",ROW())),Modulliste!A:A,0))</f>
        <v>Schienenfahrzeugdynamik</v>
      </c>
      <c r="D182" s="97"/>
      <c r="E182" s="41"/>
      <c r="F182" s="43" t="s">
        <v>68</v>
      </c>
      <c r="G182" s="43"/>
      <c r="H182" s="41"/>
      <c r="I182" s="41"/>
      <c r="J182" s="41" t="str">
        <f t="shared" si="11"/>
        <v/>
      </c>
      <c r="K182" s="41"/>
      <c r="L182" s="41"/>
      <c r="M182" s="41"/>
      <c r="N182" s="41"/>
    </row>
    <row r="183" spans="1:14" ht="15.75" customHeight="1" thickBot="1" x14ac:dyDescent="0.3">
      <c r="A183" s="195" t="s">
        <v>57</v>
      </c>
      <c r="B183" s="57">
        <v>40540</v>
      </c>
      <c r="C183" s="71" t="str">
        <f ca="1">INDEX(Modulliste!B:B,MATCH(INDIRECT(CONCATENATE("B",ROW())),Modulliste!A:A,0))</f>
        <v>Elektrische Bahnsysteme</v>
      </c>
      <c r="D183" s="95"/>
      <c r="E183" s="41"/>
      <c r="F183" s="43" t="s">
        <v>69</v>
      </c>
      <c r="G183" s="43"/>
      <c r="H183" s="41"/>
      <c r="I183" s="41"/>
      <c r="J183" s="41" t="str">
        <f t="shared" si="11"/>
        <v/>
      </c>
      <c r="K183" s="41"/>
      <c r="L183" s="41"/>
      <c r="M183" s="41"/>
      <c r="N183" s="41"/>
    </row>
    <row r="184" spans="1:14" ht="15.75" customHeight="1" thickBot="1" x14ac:dyDescent="0.3">
      <c r="A184" s="196"/>
      <c r="B184" s="52">
        <v>69900</v>
      </c>
      <c r="C184" s="54" t="str">
        <f ca="1">INDEX(Modulliste!B:B,MATCH(INDIRECT(CONCATENATE("B",ROW())),Modulliste!A:A,0))</f>
        <v>Fahrdrahtunabhängige Schienenfahrzeuge</v>
      </c>
      <c r="D184" s="96"/>
      <c r="E184" s="41"/>
      <c r="F184" s="43" t="s">
        <v>69</v>
      </c>
      <c r="G184" s="43"/>
      <c r="H184" s="41"/>
      <c r="I184" s="41"/>
      <c r="J184" s="41" t="str">
        <f t="shared" si="11"/>
        <v/>
      </c>
      <c r="K184" s="41"/>
      <c r="L184" s="41"/>
      <c r="M184" s="41"/>
      <c r="N184" s="41"/>
    </row>
    <row r="185" spans="1:14" ht="15.75" customHeight="1" x14ac:dyDescent="0.25">
      <c r="A185" s="197"/>
      <c r="B185" s="59">
        <v>41050</v>
      </c>
      <c r="C185" s="62" t="str">
        <f ca="1">INDEX(Modulliste!B:B,MATCH(INDIRECT(CONCATENATE("B",ROW())),Modulliste!A:A,0))</f>
        <v>Grundlagen der Straßen-, Stadt- und U-Bahnen</v>
      </c>
      <c r="D185" s="97"/>
      <c r="E185" s="41"/>
      <c r="F185" s="43" t="s">
        <v>69</v>
      </c>
      <c r="G185" s="43"/>
      <c r="H185" s="41"/>
      <c r="I185" s="41"/>
      <c r="J185" s="41" t="str">
        <f t="shared" si="11"/>
        <v/>
      </c>
      <c r="K185" s="41"/>
      <c r="L185" s="41"/>
      <c r="M185" s="41"/>
      <c r="N185" s="41"/>
    </row>
    <row r="186" spans="1:14" ht="15.75" customHeight="1" thickBot="1" x14ac:dyDescent="0.3">
      <c r="A186" s="76" t="s">
        <v>58</v>
      </c>
      <c r="B186" s="55">
        <v>34110</v>
      </c>
      <c r="C186" s="67" t="str">
        <f ca="1">INDEX(Modulliste!B:B,MATCH(INDIRECT(CONCATENATE("B",ROW())),Modulliste!A:A,0))</f>
        <v>Praktikum Schienenfahrzeug</v>
      </c>
      <c r="D186" s="99"/>
      <c r="E186" s="41"/>
      <c r="F186" s="43" t="s">
        <v>70</v>
      </c>
      <c r="G186" s="43"/>
      <c r="H186" s="41"/>
      <c r="I186" s="41"/>
      <c r="J186" s="41" t="str">
        <f t="shared" si="11"/>
        <v/>
      </c>
      <c r="K186" s="41"/>
      <c r="L186" s="41"/>
      <c r="M186" s="41"/>
      <c r="N186" s="41"/>
    </row>
    <row r="187" spans="1:14" ht="7.5" customHeight="1" x14ac:dyDescent="0.25">
      <c r="A187" s="194"/>
      <c r="B187" s="194"/>
      <c r="C187" s="194"/>
      <c r="D187" s="194"/>
      <c r="E187" s="41"/>
      <c r="F187" s="43"/>
      <c r="G187" s="43"/>
      <c r="H187" s="41"/>
      <c r="I187" s="41"/>
      <c r="J187" s="41"/>
      <c r="K187" s="41"/>
      <c r="L187" s="41"/>
      <c r="M187" s="41"/>
      <c r="N187" s="41"/>
    </row>
    <row r="188" spans="1:14" ht="15.75" customHeight="1" x14ac:dyDescent="0.25">
      <c r="A188" s="203" t="s">
        <v>165</v>
      </c>
      <c r="B188" s="204"/>
      <c r="C188" s="204"/>
      <c r="D188" s="204"/>
      <c r="E188" s="41"/>
      <c r="F188" s="43"/>
      <c r="G188" s="43"/>
      <c r="H188" s="41"/>
      <c r="I188" s="41">
        <f>H189+I176</f>
        <v>0</v>
      </c>
      <c r="J188" s="41" t="str">
        <f>IF($H$189=1,CONCATENATE("SF ",$I$188),"")</f>
        <v/>
      </c>
      <c r="K188" s="41"/>
      <c r="L188" s="41"/>
      <c r="M188" s="41"/>
      <c r="N188" s="41"/>
    </row>
    <row r="189" spans="1:14" ht="15.75" customHeight="1" thickBot="1" x14ac:dyDescent="0.3">
      <c r="A189" s="79"/>
      <c r="B189" s="80" t="s">
        <v>2</v>
      </c>
      <c r="C189" s="81" t="s">
        <v>54</v>
      </c>
      <c r="D189" s="80" t="s">
        <v>39</v>
      </c>
      <c r="E189" s="41"/>
      <c r="F189" s="43"/>
      <c r="G189" s="43" t="s">
        <v>198</v>
      </c>
      <c r="H189" s="41">
        <f>IF(COUNTA(B_SF12)&gt;=1,1,0)</f>
        <v>0</v>
      </c>
      <c r="I189" s="41"/>
      <c r="J189" s="41"/>
      <c r="K189" s="41"/>
      <c r="L189" s="41"/>
      <c r="M189" s="41"/>
      <c r="N189" s="41"/>
    </row>
    <row r="190" spans="1:14" ht="15.75" customHeight="1" x14ac:dyDescent="0.25">
      <c r="A190" s="75" t="s">
        <v>55</v>
      </c>
      <c r="B190" s="65">
        <v>14100</v>
      </c>
      <c r="C190" s="68" t="str">
        <f ca="1">INDEX(Modulliste!B:B,MATCH(INDIRECT(CONCATENATE("B",ROW())),Modulliste!A:A,0))</f>
        <v>Hydraulische Strömungsmaschinen in der Wasserkraft</v>
      </c>
      <c r="D190" s="103"/>
      <c r="E190" s="41"/>
      <c r="F190" s="43" t="s">
        <v>67</v>
      </c>
      <c r="G190" s="43"/>
      <c r="H190" s="41"/>
      <c r="I190" s="41"/>
      <c r="J190" s="41" t="str">
        <f t="shared" ref="J190:J199" si="12">IF(AND($H$189=1,D190="x"),CONCATENATE(F190,$I$188),"")</f>
        <v/>
      </c>
      <c r="K190" s="41"/>
      <c r="L190" s="41"/>
      <c r="M190" s="41"/>
      <c r="N190" s="41"/>
    </row>
    <row r="191" spans="1:14" ht="15.75" customHeight="1" thickBot="1" x14ac:dyDescent="0.3">
      <c r="A191" s="195" t="s">
        <v>56</v>
      </c>
      <c r="B191" s="57">
        <v>14100</v>
      </c>
      <c r="C191" s="71" t="str">
        <f ca="1">INDEX(Modulliste!B:B,MATCH(INDIRECT(CONCATENATE("B",ROW())),Modulliste!A:A,0))</f>
        <v>Hydraulische Strömungsmaschinen in der Wasserkraft</v>
      </c>
      <c r="D191" s="95"/>
      <c r="E191" s="41"/>
      <c r="F191" s="43" t="s">
        <v>68</v>
      </c>
      <c r="G191" s="43"/>
      <c r="H191" s="41"/>
      <c r="I191" s="41"/>
      <c r="J191" s="41" t="str">
        <f t="shared" si="12"/>
        <v/>
      </c>
      <c r="K191" s="41"/>
      <c r="L191" s="41"/>
      <c r="M191" s="41"/>
      <c r="N191" s="41"/>
    </row>
    <row r="192" spans="1:14" ht="15.75" customHeight="1" thickBot="1" x14ac:dyDescent="0.3">
      <c r="A192" s="196"/>
      <c r="B192" s="52">
        <v>51780</v>
      </c>
      <c r="C192" s="54" t="str">
        <f ca="1">INDEX(Modulliste!B:B,MATCH(INDIRECT(CONCATENATE("B",ROW())),Modulliste!A:A,0))</f>
        <v>Modeling of Two-Phase Flows</v>
      </c>
      <c r="D192" s="96"/>
      <c r="E192" s="41"/>
      <c r="F192" s="43" t="s">
        <v>68</v>
      </c>
      <c r="G192" s="43"/>
      <c r="H192" s="41"/>
      <c r="I192" s="41"/>
      <c r="J192" s="41" t="str">
        <f t="shared" si="12"/>
        <v/>
      </c>
      <c r="K192" s="41"/>
      <c r="L192" s="41"/>
      <c r="M192" s="41"/>
      <c r="N192" s="41"/>
    </row>
    <row r="193" spans="1:14" ht="15.75" customHeight="1" thickBot="1" x14ac:dyDescent="0.3">
      <c r="A193" s="196"/>
      <c r="B193" s="52">
        <v>75330</v>
      </c>
      <c r="C193" s="54" t="str">
        <f ca="1">INDEX(Modulliste!B:B,MATCH(INDIRECT(CONCATENATE("B",ROW())),Modulliste!A:A,0))</f>
        <v>Numerische Strömungsmechanik mit Optimierungsanwendungen 1</v>
      </c>
      <c r="D193" s="96"/>
      <c r="E193" s="41"/>
      <c r="F193" s="43" t="s">
        <v>68</v>
      </c>
      <c r="G193" s="43"/>
      <c r="H193" s="41"/>
      <c r="I193" s="41"/>
      <c r="J193" s="41" t="str">
        <f t="shared" si="12"/>
        <v/>
      </c>
      <c r="K193" s="41"/>
      <c r="L193" s="41"/>
      <c r="M193" s="41"/>
      <c r="N193" s="41"/>
    </row>
    <row r="194" spans="1:14" ht="15.75" customHeight="1" x14ac:dyDescent="0.25">
      <c r="A194" s="197"/>
      <c r="B194" s="59">
        <v>29210</v>
      </c>
      <c r="C194" s="62" t="str">
        <f ca="1">INDEX(Modulliste!B:B,MATCH(INDIRECT(CONCATENATE("B",ROW())),Modulliste!A:A,0))</f>
        <v>Transiente Vorgänge und Regelungsaspekte in Wasserkraftanlagen</v>
      </c>
      <c r="D194" s="97"/>
      <c r="E194" s="41"/>
      <c r="F194" s="43" t="s">
        <v>68</v>
      </c>
      <c r="G194" s="43"/>
      <c r="H194" s="41"/>
      <c r="I194" s="41"/>
      <c r="J194" s="41" t="str">
        <f t="shared" si="12"/>
        <v/>
      </c>
      <c r="K194" s="41"/>
      <c r="L194" s="41"/>
      <c r="M194" s="41"/>
      <c r="N194" s="41"/>
    </row>
    <row r="195" spans="1:14" ht="15.75" customHeight="1" thickBot="1" x14ac:dyDescent="0.3">
      <c r="A195" s="195" t="s">
        <v>57</v>
      </c>
      <c r="B195" s="57">
        <v>101010</v>
      </c>
      <c r="C195" s="71" t="str">
        <f ca="1">INDEX(Modulliste!B:B,MATCH(INDIRECT(CONCATENATE("B",ROW())),Modulliste!A:A,0))</f>
        <v>Numerische Strömungsmechanik mit Optimierungsanwendungen 2</v>
      </c>
      <c r="D195" s="95"/>
      <c r="E195" s="41"/>
      <c r="F195" s="43" t="s">
        <v>69</v>
      </c>
      <c r="G195" s="43"/>
      <c r="H195" s="41"/>
      <c r="I195" s="41"/>
      <c r="J195" s="41" t="str">
        <f t="shared" si="12"/>
        <v/>
      </c>
      <c r="K195" s="41"/>
      <c r="L195" s="41"/>
      <c r="M195" s="41"/>
      <c r="N195" s="41"/>
    </row>
    <row r="196" spans="1:14" ht="15.75" customHeight="1" thickBot="1" x14ac:dyDescent="0.3">
      <c r="A196" s="196"/>
      <c r="B196" s="52">
        <v>30770</v>
      </c>
      <c r="C196" s="54" t="str">
        <f ca="1">INDEX(Modulliste!B:B,MATCH(INDIRECT(CONCATENATE("B",ROW())),Modulliste!A:A,0))</f>
        <v>Planung von Wasserkraftanlagen</v>
      </c>
      <c r="D196" s="96"/>
      <c r="E196" s="41"/>
      <c r="F196" s="43" t="s">
        <v>69</v>
      </c>
      <c r="G196" s="43"/>
      <c r="H196" s="41"/>
      <c r="I196" s="41"/>
      <c r="J196" s="41" t="str">
        <f t="shared" si="12"/>
        <v/>
      </c>
      <c r="K196" s="41"/>
      <c r="L196" s="41"/>
      <c r="M196" s="41"/>
      <c r="N196" s="41"/>
    </row>
    <row r="197" spans="1:14" ht="15.75" customHeight="1" thickBot="1" x14ac:dyDescent="0.3">
      <c r="A197" s="196"/>
      <c r="B197" s="52">
        <v>74450</v>
      </c>
      <c r="C197" s="54" t="str">
        <f ca="1">INDEX(Modulliste!B:B,MATCH(INDIRECT(CONCATENATE("B",ROW())),Modulliste!A:A,0))</f>
        <v>Rotordynamik von Turbomaschinen </v>
      </c>
      <c r="D197" s="96"/>
      <c r="E197" s="41"/>
      <c r="F197" s="43" t="s">
        <v>69</v>
      </c>
      <c r="G197" s="43"/>
      <c r="H197" s="41"/>
      <c r="I197" s="41"/>
      <c r="J197" s="41" t="str">
        <f t="shared" si="12"/>
        <v/>
      </c>
      <c r="K197" s="41"/>
      <c r="L197" s="41"/>
      <c r="M197" s="41"/>
      <c r="N197" s="41"/>
    </row>
    <row r="198" spans="1:14" ht="15.75" customHeight="1" x14ac:dyDescent="0.25">
      <c r="A198" s="197"/>
      <c r="B198" s="59">
        <v>30740</v>
      </c>
      <c r="C198" s="62" t="str">
        <f ca="1">INDEX(Modulliste!B:B,MATCH(INDIRECT(CONCATENATE("B",ROW())),Modulliste!A:A,0))</f>
        <v>Strömungsmesstechnik</v>
      </c>
      <c r="D198" s="97"/>
      <c r="E198" s="41"/>
      <c r="F198" s="43" t="s">
        <v>69</v>
      </c>
      <c r="G198" s="43"/>
      <c r="H198" s="41"/>
      <c r="I198" s="41"/>
      <c r="J198" s="41" t="str">
        <f t="shared" si="12"/>
        <v/>
      </c>
      <c r="K198" s="41"/>
      <c r="L198" s="41"/>
      <c r="M198" s="41"/>
      <c r="N198" s="41"/>
    </row>
    <row r="199" spans="1:14" ht="15.75" customHeight="1" thickBot="1" x14ac:dyDescent="0.3">
      <c r="A199" s="76" t="s">
        <v>58</v>
      </c>
      <c r="B199" s="55">
        <v>30780</v>
      </c>
      <c r="C199" s="67" t="str">
        <f ca="1">INDEX(Modulliste!B:B,MATCH(INDIRECT(CONCATENATE("B",ROW())),Modulliste!A:A,0))</f>
        <v>Praktikum Strömungsmechanik und Wasserkraft</v>
      </c>
      <c r="D199" s="99"/>
      <c r="E199" s="41"/>
      <c r="F199" s="43" t="s">
        <v>70</v>
      </c>
      <c r="G199" s="43"/>
      <c r="H199" s="41"/>
      <c r="I199" s="41"/>
      <c r="J199" s="41" t="str">
        <f t="shared" si="12"/>
        <v/>
      </c>
      <c r="K199" s="41"/>
      <c r="L199" s="41"/>
      <c r="M199" s="41"/>
      <c r="N199" s="41"/>
    </row>
    <row r="200" spans="1:14" ht="7.5" customHeight="1" x14ac:dyDescent="0.25">
      <c r="A200" s="194"/>
      <c r="B200" s="194"/>
      <c r="C200" s="194"/>
      <c r="D200" s="194"/>
      <c r="E200" s="41"/>
      <c r="F200" s="43"/>
      <c r="G200" s="43"/>
      <c r="H200" s="41"/>
      <c r="I200" s="41"/>
      <c r="J200" s="41"/>
      <c r="K200" s="41"/>
      <c r="L200" s="41"/>
      <c r="M200" s="41"/>
      <c r="N200" s="41"/>
    </row>
    <row r="201" spans="1:14" ht="15.75" customHeight="1" x14ac:dyDescent="0.25">
      <c r="A201" s="203" t="s">
        <v>174</v>
      </c>
      <c r="B201" s="204"/>
      <c r="C201" s="204"/>
      <c r="D201" s="204"/>
      <c r="E201" s="41"/>
      <c r="F201" s="43"/>
      <c r="G201" s="43"/>
      <c r="H201" s="41"/>
      <c r="I201" s="41">
        <f>H202+I188</f>
        <v>0</v>
      </c>
      <c r="J201" s="41" t="str">
        <f>IF($H$202=1,CONCATENATE("SF ",$I$201),"")</f>
        <v/>
      </c>
      <c r="K201" s="41"/>
      <c r="L201" s="41"/>
      <c r="M201" s="41"/>
      <c r="N201" s="41"/>
    </row>
    <row r="202" spans="1:14" ht="15.75" customHeight="1" thickBot="1" x14ac:dyDescent="0.3">
      <c r="A202" s="79"/>
      <c r="B202" s="80" t="s">
        <v>2</v>
      </c>
      <c r="C202" s="81" t="s">
        <v>54</v>
      </c>
      <c r="D202" s="80" t="s">
        <v>39</v>
      </c>
      <c r="E202" s="41"/>
      <c r="F202" s="43"/>
      <c r="G202" s="43" t="s">
        <v>199</v>
      </c>
      <c r="H202" s="41">
        <f>IF(COUNTA(B_SF13)&gt;=1,1,0)</f>
        <v>0</v>
      </c>
      <c r="I202" s="41"/>
      <c r="J202" s="41"/>
      <c r="K202" s="41"/>
      <c r="L202" s="41"/>
      <c r="M202" s="41"/>
      <c r="N202" s="41"/>
    </row>
    <row r="203" spans="1:14" ht="15.75" customHeight="1" thickBot="1" x14ac:dyDescent="0.3">
      <c r="A203" s="201" t="s">
        <v>55</v>
      </c>
      <c r="B203" s="55">
        <v>14070</v>
      </c>
      <c r="C203" s="67" t="str">
        <f ca="1">INDEX(Modulliste!B:B,MATCH(INDIRECT(CONCATENATE("B",ROW())),Modulliste!A:A,0))</f>
        <v>Grundlagen der Thermischen Strömungsmaschinen</v>
      </c>
      <c r="D203" s="99"/>
      <c r="E203" s="41"/>
      <c r="F203" s="43" t="s">
        <v>67</v>
      </c>
      <c r="G203" s="43"/>
      <c r="H203" s="41"/>
      <c r="I203" s="41"/>
      <c r="J203" s="41" t="str">
        <f t="shared" ref="J203:J213" si="13">IF(AND($H$202=1,D203="x"),CONCATENATE(F203,$I$201),"")</f>
        <v/>
      </c>
      <c r="K203" s="41"/>
      <c r="L203" s="41"/>
      <c r="M203" s="41"/>
      <c r="N203" s="41"/>
    </row>
    <row r="204" spans="1:14" ht="15.75" customHeight="1" x14ac:dyDescent="0.25">
      <c r="A204" s="197"/>
      <c r="B204" s="59">
        <v>30820</v>
      </c>
      <c r="C204" s="62" t="str">
        <f ca="1">INDEX(Modulliste!B:B,MATCH(INDIRECT(CONCATENATE("B",ROW())),Modulliste!A:A,0))</f>
        <v>Thermische Strömungsmaschinen</v>
      </c>
      <c r="D204" s="97"/>
      <c r="E204" s="41"/>
      <c r="F204" s="43" t="s">
        <v>67</v>
      </c>
      <c r="G204" s="43"/>
      <c r="H204" s="41"/>
      <c r="I204" s="41"/>
      <c r="J204" s="41" t="str">
        <f t="shared" si="13"/>
        <v/>
      </c>
      <c r="K204" s="41"/>
      <c r="L204" s="41"/>
      <c r="M204" s="41"/>
      <c r="N204" s="41"/>
    </row>
    <row r="205" spans="1:14" ht="15.75" customHeight="1" thickBot="1" x14ac:dyDescent="0.3">
      <c r="A205" s="195" t="s">
        <v>56</v>
      </c>
      <c r="B205" s="57">
        <v>14070</v>
      </c>
      <c r="C205" s="71" t="str">
        <f ca="1">INDEX(Modulliste!B:B,MATCH(INDIRECT(CONCATENATE("B",ROW())),Modulliste!A:A,0))</f>
        <v>Grundlagen der Thermischen Strömungsmaschinen</v>
      </c>
      <c r="D205" s="95"/>
      <c r="E205" s="41"/>
      <c r="F205" s="43" t="s">
        <v>68</v>
      </c>
      <c r="G205" s="43"/>
      <c r="H205" s="41"/>
      <c r="I205" s="41"/>
      <c r="J205" s="41" t="str">
        <f t="shared" si="13"/>
        <v/>
      </c>
      <c r="K205" s="41"/>
      <c r="L205" s="41"/>
      <c r="M205" s="41"/>
      <c r="N205" s="41"/>
    </row>
    <row r="206" spans="1:14" ht="15.75" customHeight="1" thickBot="1" x14ac:dyDescent="0.3">
      <c r="A206" s="196"/>
      <c r="B206" s="52">
        <v>30830</v>
      </c>
      <c r="C206" s="54" t="str">
        <f ca="1">INDEX(Modulliste!B:B,MATCH(INDIRECT(CONCATENATE("B",ROW())),Modulliste!A:A,0))</f>
        <v>Numerik und Messtechnik für Turbomaschinen</v>
      </c>
      <c r="D206" s="96"/>
      <c r="E206" s="41"/>
      <c r="F206" s="43" t="s">
        <v>68</v>
      </c>
      <c r="G206" s="43"/>
      <c r="H206" s="41"/>
      <c r="I206" s="41"/>
      <c r="J206" s="41" t="str">
        <f t="shared" si="13"/>
        <v/>
      </c>
      <c r="K206" s="41"/>
      <c r="L206" s="41"/>
      <c r="M206" s="41"/>
      <c r="N206" s="41"/>
    </row>
    <row r="207" spans="1:14" ht="15.75" customHeight="1" thickBot="1" x14ac:dyDescent="0.3">
      <c r="A207" s="196"/>
      <c r="B207" s="52">
        <v>57060</v>
      </c>
      <c r="C207" s="54" t="str">
        <f ca="1">INDEX(Modulliste!B:B,MATCH(INDIRECT(CONCATENATE("B",ROW())),Modulliste!A:A,0))</f>
        <v>Spezielle Themen zu Thermischen Turbomaschinen</v>
      </c>
      <c r="D207" s="96"/>
      <c r="E207" s="41"/>
      <c r="F207" s="43" t="s">
        <v>68</v>
      </c>
      <c r="G207" s="43"/>
      <c r="H207" s="41"/>
      <c r="I207" s="41"/>
      <c r="J207" s="41" t="str">
        <f t="shared" si="13"/>
        <v/>
      </c>
      <c r="K207" s="41"/>
      <c r="L207" s="41"/>
      <c r="M207" s="41"/>
      <c r="N207" s="41"/>
    </row>
    <row r="208" spans="1:14" ht="15.75" customHeight="1" x14ac:dyDescent="0.25">
      <c r="A208" s="197"/>
      <c r="B208" s="59">
        <v>30820</v>
      </c>
      <c r="C208" s="62" t="str">
        <f ca="1">INDEX(Modulliste!B:B,MATCH(INDIRECT(CONCATENATE("B",ROW())),Modulliste!A:A,0))</f>
        <v>Thermische Strömungsmaschinen</v>
      </c>
      <c r="D208" s="97"/>
      <c r="E208" s="41"/>
      <c r="F208" s="43" t="s">
        <v>68</v>
      </c>
      <c r="G208" s="43"/>
      <c r="H208" s="41"/>
      <c r="I208" s="41"/>
      <c r="J208" s="41" t="str">
        <f t="shared" si="13"/>
        <v/>
      </c>
      <c r="K208" s="41"/>
      <c r="L208" s="41"/>
      <c r="M208" s="41"/>
      <c r="N208" s="41"/>
    </row>
    <row r="209" spans="1:14" ht="15.75" customHeight="1" thickBot="1" x14ac:dyDescent="0.3">
      <c r="A209" s="195" t="s">
        <v>57</v>
      </c>
      <c r="B209" s="57">
        <v>30540</v>
      </c>
      <c r="C209" s="71" t="str">
        <f ca="1">INDEX(Modulliste!B:B,MATCH(INDIRECT(CONCATENATE("B",ROW())),Modulliste!A:A,0))</f>
        <v>Dampfturbinentechnologie</v>
      </c>
      <c r="D209" s="95"/>
      <c r="E209" s="41"/>
      <c r="F209" s="43" t="s">
        <v>69</v>
      </c>
      <c r="G209" s="43"/>
      <c r="H209" s="41"/>
      <c r="I209" s="41"/>
      <c r="J209" s="41" t="str">
        <f t="shared" si="13"/>
        <v/>
      </c>
      <c r="K209" s="41"/>
      <c r="L209" s="41"/>
      <c r="M209" s="41"/>
      <c r="N209" s="41"/>
    </row>
    <row r="210" spans="1:14" ht="15.75" customHeight="1" thickBot="1" x14ac:dyDescent="0.3">
      <c r="A210" s="196"/>
      <c r="B210" s="52">
        <v>30840</v>
      </c>
      <c r="C210" s="54" t="str">
        <f ca="1">INDEX(Modulliste!B:B,MATCH(INDIRECT(CONCATENATE("B",ROW())),Modulliste!A:A,0))</f>
        <v>Numerische Methoden in Fluid- und Strukturdynamik</v>
      </c>
      <c r="D210" s="96"/>
      <c r="E210" s="41"/>
      <c r="F210" s="43" t="s">
        <v>69</v>
      </c>
      <c r="G210" s="43"/>
      <c r="H210" s="41"/>
      <c r="I210" s="41"/>
      <c r="J210" s="41" t="str">
        <f t="shared" si="13"/>
        <v/>
      </c>
      <c r="K210" s="41"/>
      <c r="L210" s="41"/>
      <c r="M210" s="41"/>
      <c r="N210" s="41"/>
    </row>
    <row r="211" spans="1:14" ht="15.75" customHeight="1" thickBot="1" x14ac:dyDescent="0.3">
      <c r="A211" s="196"/>
      <c r="B211" s="52">
        <v>30860</v>
      </c>
      <c r="C211" s="54" t="str">
        <f ca="1">INDEX(Modulliste!B:B,MATCH(INDIRECT(CONCATENATE("B",ROW())),Modulliste!A:A,0))</f>
        <v>Strömungs- und Schwingungsmesstechnik für Turbomaschinen</v>
      </c>
      <c r="D211" s="96"/>
      <c r="E211" s="41"/>
      <c r="F211" s="43" t="s">
        <v>69</v>
      </c>
      <c r="G211" s="43"/>
      <c r="H211" s="41"/>
      <c r="I211" s="41"/>
      <c r="J211" s="41" t="str">
        <f t="shared" si="13"/>
        <v/>
      </c>
      <c r="K211" s="41"/>
      <c r="L211" s="41"/>
      <c r="M211" s="41"/>
      <c r="N211" s="41"/>
    </row>
    <row r="212" spans="1:14" ht="15.75" customHeight="1" x14ac:dyDescent="0.25">
      <c r="A212" s="197"/>
      <c r="B212" s="59">
        <v>30850</v>
      </c>
      <c r="C212" s="62" t="str">
        <f ca="1">INDEX(Modulliste!B:B,MATCH(INDIRECT(CONCATENATE("B",ROW())),Modulliste!A:A,0))</f>
        <v>Turbochargers</v>
      </c>
      <c r="D212" s="97"/>
      <c r="E212" s="41"/>
      <c r="F212" s="43" t="s">
        <v>69</v>
      </c>
      <c r="G212" s="43"/>
      <c r="H212" s="41"/>
      <c r="I212" s="41"/>
      <c r="J212" s="41" t="str">
        <f t="shared" si="13"/>
        <v/>
      </c>
      <c r="K212" s="41"/>
      <c r="L212" s="41"/>
      <c r="M212" s="41"/>
      <c r="N212" s="41"/>
    </row>
    <row r="213" spans="1:14" ht="15.75" customHeight="1" thickBot="1" x14ac:dyDescent="0.3">
      <c r="A213" s="76" t="s">
        <v>58</v>
      </c>
      <c r="B213" s="55">
        <v>30870</v>
      </c>
      <c r="C213" s="67" t="str">
        <f ca="1">INDEX(Modulliste!B:B,MATCH(INDIRECT(CONCATENATE("B",ROW())),Modulliste!A:A,0))</f>
        <v>Praktikum Thermische Turbomaschinen</v>
      </c>
      <c r="D213" s="99"/>
      <c r="E213" s="41"/>
      <c r="F213" s="43" t="s">
        <v>70</v>
      </c>
      <c r="G213" s="43"/>
      <c r="H213" s="41"/>
      <c r="I213" s="41"/>
      <c r="J213" s="41" t="str">
        <f t="shared" si="13"/>
        <v/>
      </c>
      <c r="K213" s="41"/>
      <c r="L213" s="41"/>
      <c r="M213" s="41"/>
      <c r="N213" s="41"/>
    </row>
    <row r="214" spans="1:14" ht="7.5" customHeight="1" x14ac:dyDescent="0.25">
      <c r="A214" s="194"/>
      <c r="B214" s="194"/>
      <c r="C214" s="194"/>
      <c r="D214" s="194"/>
      <c r="E214" s="41"/>
      <c r="F214" s="43"/>
      <c r="G214" s="43"/>
      <c r="H214" s="41"/>
      <c r="I214" s="41"/>
      <c r="J214" s="41"/>
      <c r="K214" s="41"/>
      <c r="L214" s="41"/>
      <c r="M214" s="41"/>
      <c r="N214" s="41"/>
    </row>
    <row r="215" spans="1:14" ht="15.75" customHeight="1" x14ac:dyDescent="0.25">
      <c r="A215" s="203" t="s">
        <v>183</v>
      </c>
      <c r="B215" s="204"/>
      <c r="C215" s="204"/>
      <c r="D215" s="204"/>
      <c r="E215" s="41"/>
      <c r="F215" s="43"/>
      <c r="G215" s="43"/>
      <c r="H215" s="41"/>
      <c r="I215" s="41">
        <f>H216+I201</f>
        <v>0</v>
      </c>
      <c r="J215" s="41" t="str">
        <f>IF($H$216=1,CONCATENATE("SF ",$I$215),"")</f>
        <v/>
      </c>
      <c r="K215" s="41"/>
      <c r="L215" s="41"/>
      <c r="M215" s="41"/>
      <c r="N215" s="41"/>
    </row>
    <row r="216" spans="1:14" ht="15.75" customHeight="1" thickBot="1" x14ac:dyDescent="0.3">
      <c r="A216" s="79"/>
      <c r="B216" s="80" t="s">
        <v>2</v>
      </c>
      <c r="C216" s="81" t="s">
        <v>54</v>
      </c>
      <c r="D216" s="80" t="s">
        <v>39</v>
      </c>
      <c r="E216" s="41"/>
      <c r="F216" s="43"/>
      <c r="G216" s="43" t="s">
        <v>200</v>
      </c>
      <c r="H216" s="41">
        <f>IF(COUNTA(B_SF14)&gt;=1,1,0)</f>
        <v>0</v>
      </c>
      <c r="I216" s="41"/>
      <c r="J216" s="41"/>
      <c r="K216" s="41"/>
      <c r="L216" s="41"/>
      <c r="M216" s="41"/>
      <c r="N216" s="41"/>
    </row>
    <row r="217" spans="1:14" ht="15.75" customHeight="1" x14ac:dyDescent="0.25">
      <c r="A217" s="75" t="s">
        <v>55</v>
      </c>
      <c r="B217" s="65">
        <v>13570</v>
      </c>
      <c r="C217" s="68" t="str">
        <f ca="1">INDEX(Modulliste!B:B,MATCH(INDIRECT(CONCATENATE("B",ROW())),Modulliste!A:A,0))</f>
        <v>Werkzeugmaschinen und Produktionssysteme</v>
      </c>
      <c r="D217" s="103"/>
      <c r="E217" s="41"/>
      <c r="F217" s="43" t="s">
        <v>67</v>
      </c>
      <c r="G217" s="43"/>
      <c r="H217" s="41"/>
      <c r="I217" s="41"/>
      <c r="J217" s="41" t="str">
        <f t="shared" ref="J217:J224" si="14">IF(AND($H$216=1,D217="x"),CONCATENATE(F217,$I$215),"")</f>
        <v/>
      </c>
      <c r="K217" s="41"/>
      <c r="L217" s="41"/>
      <c r="M217" s="41"/>
      <c r="N217" s="41"/>
    </row>
    <row r="218" spans="1:14" ht="15.75" customHeight="1" thickBot="1" x14ac:dyDescent="0.3">
      <c r="A218" s="195" t="s">
        <v>56</v>
      </c>
      <c r="B218" s="57">
        <v>32870</v>
      </c>
      <c r="C218" s="71" t="str">
        <f ca="1">INDEX(Modulliste!B:B,MATCH(INDIRECT(CONCATENATE("B",ROW())),Modulliste!A:A,0))</f>
        <v>Grundlagen spanender Werkzeugmaschinen</v>
      </c>
      <c r="D218" s="95"/>
      <c r="E218" s="41"/>
      <c r="F218" s="43" t="s">
        <v>68</v>
      </c>
      <c r="G218" s="43"/>
      <c r="H218" s="41"/>
      <c r="I218" s="41"/>
      <c r="J218" s="41" t="str">
        <f t="shared" si="14"/>
        <v/>
      </c>
      <c r="K218" s="41"/>
      <c r="L218" s="41"/>
      <c r="M218" s="41"/>
      <c r="N218" s="41"/>
    </row>
    <row r="219" spans="1:14" ht="15.75" customHeight="1" thickBot="1" x14ac:dyDescent="0.3">
      <c r="A219" s="196"/>
      <c r="B219" s="52">
        <v>75730</v>
      </c>
      <c r="C219" s="54" t="str">
        <f ca="1">INDEX(Modulliste!B:B,MATCH(INDIRECT(CONCATENATE("B",ROW())),Modulliste!A:A,0))</f>
        <v>Grundlagen und Technologien der Faserverbund- und Holzwerkstoffbearbeitung </v>
      </c>
      <c r="D219" s="96"/>
      <c r="E219" s="41"/>
      <c r="F219" s="43" t="s">
        <v>68</v>
      </c>
      <c r="G219" s="43"/>
      <c r="H219" s="41"/>
      <c r="I219" s="41"/>
      <c r="J219" s="41" t="str">
        <f t="shared" si="14"/>
        <v/>
      </c>
      <c r="K219" s="41"/>
      <c r="L219" s="41"/>
      <c r="M219" s="41"/>
      <c r="N219" s="41"/>
    </row>
    <row r="220" spans="1:14" ht="15.75" customHeight="1" x14ac:dyDescent="0.25">
      <c r="A220" s="197"/>
      <c r="B220" s="59">
        <v>13570</v>
      </c>
      <c r="C220" s="62" t="str">
        <f ca="1">INDEX(Modulliste!B:B,MATCH(INDIRECT(CONCATENATE("B",ROW())),Modulliste!A:A,0))</f>
        <v>Werkzeugmaschinen und Produktionssysteme</v>
      </c>
      <c r="D220" s="97"/>
      <c r="E220" s="41"/>
      <c r="F220" s="43" t="s">
        <v>68</v>
      </c>
      <c r="G220" s="43"/>
      <c r="H220" s="41"/>
      <c r="I220" s="41"/>
      <c r="J220" s="41" t="str">
        <f t="shared" si="14"/>
        <v/>
      </c>
      <c r="K220" s="41"/>
      <c r="L220" s="41"/>
      <c r="M220" s="41"/>
      <c r="N220" s="41"/>
    </row>
    <row r="221" spans="1:14" ht="15.75" customHeight="1" thickBot="1" x14ac:dyDescent="0.3">
      <c r="A221" s="195" t="s">
        <v>57</v>
      </c>
      <c r="B221" s="57">
        <v>33440</v>
      </c>
      <c r="C221" s="71" t="str">
        <f ca="1">INDEX(Modulliste!B:B,MATCH(INDIRECT(CONCATENATE("B",ROW())),Modulliste!A:A,0))</f>
        <v>Beurteilung des Verhaltens von Werkzeugmaschinen</v>
      </c>
      <c r="D221" s="95"/>
      <c r="E221" s="41"/>
      <c r="F221" s="43" t="s">
        <v>69</v>
      </c>
      <c r="G221" s="43"/>
      <c r="H221" s="41"/>
      <c r="I221" s="41"/>
      <c r="J221" s="41" t="str">
        <f t="shared" si="14"/>
        <v/>
      </c>
      <c r="K221" s="41"/>
      <c r="L221" s="41"/>
      <c r="M221" s="41"/>
      <c r="N221" s="41"/>
    </row>
    <row r="222" spans="1:14" ht="15.75" customHeight="1" thickBot="1" x14ac:dyDescent="0.3">
      <c r="A222" s="196"/>
      <c r="B222" s="52">
        <v>74360</v>
      </c>
      <c r="C222" s="54" t="str">
        <f ca="1">INDEX(Modulliste!B:B,MATCH(INDIRECT(CONCATENATE("B",ROW())),Modulliste!A:A,0))</f>
        <v>Lärmarme Maschinenkonstruktion</v>
      </c>
      <c r="D222" s="96"/>
      <c r="E222" s="41"/>
      <c r="F222" s="43" t="s">
        <v>69</v>
      </c>
      <c r="G222" s="43"/>
      <c r="H222" s="41"/>
      <c r="I222" s="41"/>
      <c r="J222" s="41" t="str">
        <f t="shared" si="14"/>
        <v/>
      </c>
      <c r="K222" s="41"/>
      <c r="L222" s="41"/>
      <c r="M222" s="41"/>
      <c r="N222" s="41"/>
    </row>
    <row r="223" spans="1:14" ht="15.75" customHeight="1" x14ac:dyDescent="0.25">
      <c r="A223" s="197"/>
      <c r="B223" s="59">
        <v>33670</v>
      </c>
      <c r="C223" s="62" t="str">
        <f ca="1">INDEX(Modulliste!B:B,MATCH(INDIRECT(CONCATENATE("B",ROW())),Modulliste!A:A,0))</f>
        <v>Rechnergestützte Konstruktion von Werkzeugmaschinen</v>
      </c>
      <c r="D223" s="97"/>
      <c r="E223" s="41"/>
      <c r="F223" s="43" t="s">
        <v>69</v>
      </c>
      <c r="G223" s="43"/>
      <c r="H223" s="41"/>
      <c r="I223" s="41"/>
      <c r="J223" s="41" t="str">
        <f t="shared" si="14"/>
        <v/>
      </c>
      <c r="K223" s="41"/>
      <c r="L223" s="41"/>
      <c r="M223" s="41"/>
      <c r="N223" s="41"/>
    </row>
    <row r="224" spans="1:14" ht="15.75" customHeight="1" thickBot="1" x14ac:dyDescent="0.3">
      <c r="A224" s="76" t="s">
        <v>58</v>
      </c>
      <c r="B224" s="55">
        <v>33910</v>
      </c>
      <c r="C224" s="67" t="str">
        <f ca="1">INDEX(Modulliste!B:B,MATCH(INDIRECT(CONCATENATE("B",ROW())),Modulliste!A:A,0))</f>
        <v>Praktikum Werkzeugmaschinen</v>
      </c>
      <c r="D224" s="99"/>
      <c r="E224" s="41"/>
      <c r="F224" s="43" t="s">
        <v>70</v>
      </c>
      <c r="G224" s="43"/>
      <c r="H224" s="41"/>
      <c r="I224" s="41"/>
      <c r="J224" s="41" t="str">
        <f t="shared" si="14"/>
        <v/>
      </c>
      <c r="K224" s="41"/>
      <c r="L224" s="41"/>
      <c r="M224" s="41"/>
      <c r="N224" s="41"/>
    </row>
    <row r="225" spans="1:14" ht="15.75" hidden="1" customHeight="1" x14ac:dyDescent="0.25">
      <c r="A225" s="44"/>
      <c r="B225" s="45"/>
      <c r="C225" s="41"/>
      <c r="D225" s="40"/>
      <c r="E225" s="41"/>
      <c r="F225" s="43"/>
      <c r="G225" s="43"/>
      <c r="H225" s="41"/>
      <c r="I225" s="41"/>
      <c r="J225" s="41"/>
      <c r="K225" s="41"/>
      <c r="L225" s="41"/>
      <c r="M225" s="41"/>
      <c r="N225" s="41"/>
    </row>
    <row r="226" spans="1:14" ht="15.75" hidden="1" customHeight="1" x14ac:dyDescent="0.25">
      <c r="A226" s="44"/>
      <c r="B226" s="45"/>
      <c r="C226" s="41"/>
      <c r="D226" s="40"/>
      <c r="E226" s="41"/>
      <c r="F226" s="43"/>
      <c r="G226" s="43"/>
      <c r="H226" s="41"/>
      <c r="I226" s="41"/>
      <c r="J226" s="41"/>
      <c r="K226" s="41"/>
      <c r="L226" s="41"/>
      <c r="M226" s="41"/>
      <c r="N226" s="41"/>
    </row>
    <row r="227" spans="1:14" ht="15.75" hidden="1" customHeight="1" x14ac:dyDescent="0.25">
      <c r="A227" s="44"/>
      <c r="B227" s="45"/>
      <c r="C227" s="41"/>
      <c r="D227" s="40"/>
      <c r="E227" s="41"/>
      <c r="F227" s="43"/>
      <c r="G227" s="43"/>
      <c r="H227" s="41"/>
      <c r="K227" s="41"/>
      <c r="L227" s="41"/>
      <c r="M227" s="41"/>
      <c r="N227" s="41"/>
    </row>
    <row r="228" spans="1:14" ht="15.75" hidden="1" customHeight="1" x14ac:dyDescent="0.25">
      <c r="A228" s="44"/>
      <c r="B228" s="45"/>
      <c r="C228" s="41"/>
      <c r="D228" s="40"/>
      <c r="E228" s="41"/>
      <c r="F228" s="43"/>
      <c r="G228" s="43"/>
      <c r="H228" s="41"/>
    </row>
    <row r="229" spans="1:14" ht="15.75" hidden="1" customHeight="1" x14ac:dyDescent="0.25"/>
    <row r="230" spans="1:14" hidden="1" x14ac:dyDescent="0.25"/>
  </sheetData>
  <sheetProtection algorithmName="SHA-512" hashValue="5ad0RUXzJQkAEfRXoSWW9elMm0T2E0XtzvFQruj62cjaoq2B+4/l8RsO6Nty0bJ68knEXZaweSd1cILxSgUOtg==" saltValue="mDt1nrjIBr1ntmNWttwIiQ==" spinCount="100000" sheet="1" objects="1" scenarios="1"/>
  <mergeCells count="67">
    <mergeCell ref="A1:D1"/>
    <mergeCell ref="A2:D2"/>
    <mergeCell ref="A28:A38"/>
    <mergeCell ref="A51:A58"/>
    <mergeCell ref="A70:A77"/>
    <mergeCell ref="A26:A27"/>
    <mergeCell ref="A39:A42"/>
    <mergeCell ref="A47:A50"/>
    <mergeCell ref="A59:A64"/>
    <mergeCell ref="A6:D6"/>
    <mergeCell ref="A4:D4"/>
    <mergeCell ref="A22:D22"/>
    <mergeCell ref="A5:D5"/>
    <mergeCell ref="A45:D45"/>
    <mergeCell ref="A44:D44"/>
    <mergeCell ref="A66:D66"/>
    <mergeCell ref="A218:A220"/>
    <mergeCell ref="A102:A104"/>
    <mergeCell ref="A105:A109"/>
    <mergeCell ref="A110:A115"/>
    <mergeCell ref="A120:A121"/>
    <mergeCell ref="A122:A124"/>
    <mergeCell ref="A156:D156"/>
    <mergeCell ref="A176:D176"/>
    <mergeCell ref="A188:D188"/>
    <mergeCell ref="A201:D201"/>
    <mergeCell ref="A215:D215"/>
    <mergeCell ref="A155:D155"/>
    <mergeCell ref="A180:A182"/>
    <mergeCell ref="A131:A133"/>
    <mergeCell ref="A140:A144"/>
    <mergeCell ref="A175:D175"/>
    <mergeCell ref="A209:A212"/>
    <mergeCell ref="A117:D117"/>
    <mergeCell ref="A127:D127"/>
    <mergeCell ref="A23:D23"/>
    <mergeCell ref="A83:A85"/>
    <mergeCell ref="A145:A153"/>
    <mergeCell ref="A99:D99"/>
    <mergeCell ref="A136:D136"/>
    <mergeCell ref="A100:D100"/>
    <mergeCell ref="A118:D118"/>
    <mergeCell ref="A137:D137"/>
    <mergeCell ref="A128:D128"/>
    <mergeCell ref="A3:D3"/>
    <mergeCell ref="A24:D24"/>
    <mergeCell ref="A93:A97"/>
    <mergeCell ref="A67:D67"/>
    <mergeCell ref="A80:D80"/>
    <mergeCell ref="A81:D81"/>
    <mergeCell ref="A86:A92"/>
    <mergeCell ref="A214:D214"/>
    <mergeCell ref="A200:D200"/>
    <mergeCell ref="A221:A223"/>
    <mergeCell ref="A8:A9"/>
    <mergeCell ref="A10:A13"/>
    <mergeCell ref="A14:A20"/>
    <mergeCell ref="A183:A185"/>
    <mergeCell ref="A191:A194"/>
    <mergeCell ref="A195:A198"/>
    <mergeCell ref="A203:A204"/>
    <mergeCell ref="A205:A208"/>
    <mergeCell ref="A158:A160"/>
    <mergeCell ref="A161:A168"/>
    <mergeCell ref="A169:A173"/>
    <mergeCell ref="A178:A179"/>
    <mergeCell ref="A187:D187"/>
  </mergeCells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29435B9-3EE2-439D-B4B0-58246CC4595A}">
          <x14:formula1>
            <xm:f>Zusammenfassung!$J$3:$J$4</xm:f>
          </x14:formula1>
          <xm:sqref>D8:D21 D26:D43 D47:D65 D69:D79 D83:D98 D102:D116 D120:D126 D130:D135 D139:D154 D158:D174 D178:D186 D190:D199 D203:D213 D217:D224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F924B-7CC6-4C54-A143-D20D1B491FA4}">
  <dimension ref="A2:L36"/>
  <sheetViews>
    <sheetView topLeftCell="A13" workbookViewId="0">
      <selection activeCell="M38" sqref="M38"/>
    </sheetView>
  </sheetViews>
  <sheetFormatPr baseColWidth="10" defaultRowHeight="15" x14ac:dyDescent="0.25"/>
  <cols>
    <col min="3" max="3" width="64.7109375" bestFit="1" customWidth="1"/>
    <col min="4" max="4" width="39.85546875" customWidth="1"/>
  </cols>
  <sheetData>
    <row r="2" spans="1:12" x14ac:dyDescent="0.25">
      <c r="J2" s="4" t="s">
        <v>249</v>
      </c>
      <c r="L2" s="3" t="s">
        <v>280</v>
      </c>
    </row>
    <row r="3" spans="1:12" ht="20.25" thickBot="1" x14ac:dyDescent="0.35">
      <c r="A3" s="215" t="s">
        <v>40</v>
      </c>
      <c r="B3" s="215"/>
      <c r="C3" s="215"/>
      <c r="E3" s="3" t="s">
        <v>41</v>
      </c>
      <c r="F3" s="3" t="s">
        <v>42</v>
      </c>
      <c r="G3" s="3" t="s">
        <v>206</v>
      </c>
      <c r="H3" s="120" t="s">
        <v>279</v>
      </c>
      <c r="J3" s="29" t="s">
        <v>66</v>
      </c>
      <c r="L3" s="3" t="e">
        <f>INDEX(B1:B200,MATCH("x",H:H,0))</f>
        <v>#N/A</v>
      </c>
    </row>
    <row r="4" spans="1:12" ht="15.75" thickTop="1" x14ac:dyDescent="0.25">
      <c r="B4" t="s">
        <v>2</v>
      </c>
      <c r="C4" t="s">
        <v>3</v>
      </c>
      <c r="E4" s="3"/>
      <c r="F4" s="3"/>
      <c r="G4" s="3">
        <f>MAX(G5:G32)</f>
        <v>0</v>
      </c>
      <c r="J4" s="30"/>
    </row>
    <row r="5" spans="1:12" x14ac:dyDescent="0.25">
      <c r="A5" t="s">
        <v>4</v>
      </c>
      <c r="B5" t="str">
        <f>IFERROR(INDEX(Wahlpflichtmodule!$A$1:$C$17,E5,2),"")</f>
        <v/>
      </c>
      <c r="C5" t="str">
        <f ca="1">IFERROR(INDEX(Modulliste!B:B,MATCH(INDIRECT(CONCATENATE("B",ROW())),Modulliste!A:A,0)),"")</f>
        <v/>
      </c>
      <c r="E5" s="3" t="str">
        <f>IFERROR(MATCH(F5,Wahlpflichtmodule!$E$1:$E$18,0),"")</f>
        <v/>
      </c>
      <c r="F5" s="3">
        <v>1</v>
      </c>
      <c r="G5" s="3">
        <f>IF(B5="",0,COUNTIF($A$5:$C$32,B5))</f>
        <v>0</v>
      </c>
      <c r="H5" t="str">
        <f>IF(G5&gt;1,"x","")</f>
        <v/>
      </c>
      <c r="J5">
        <f>MAX(G5:G7)*MAX(G16:G19)</f>
        <v>0</v>
      </c>
      <c r="K5">
        <f>MAX(G5:G32)</f>
        <v>0</v>
      </c>
    </row>
    <row r="6" spans="1:12" x14ac:dyDescent="0.25">
      <c r="A6" t="s">
        <v>5</v>
      </c>
      <c r="B6" t="str">
        <f>IFERROR(INDEX(Wahlpflichtmodule!$A$1:$C$17,E6,2),"")</f>
        <v/>
      </c>
      <c r="C6" t="str">
        <f ca="1">IFERROR(INDEX(Modulliste!B:B,MATCH(INDIRECT(CONCATENATE("B",ROW())),Modulliste!A:A,0)),"")</f>
        <v/>
      </c>
      <c r="E6" s="3" t="str">
        <f>IFERROR(MATCH(F6,Wahlpflichtmodule!$E$1:$E$18,0),"")</f>
        <v/>
      </c>
      <c r="F6" s="3">
        <v>2</v>
      </c>
      <c r="G6" s="3">
        <f>IF(B6="",0,COUNTIF($A$5:$C$32,B6))</f>
        <v>0</v>
      </c>
      <c r="H6" t="str">
        <f t="shared" ref="H6:H32" si="0">IF(G6&gt;1,"x","")</f>
        <v/>
      </c>
    </row>
    <row r="7" spans="1:12" x14ac:dyDescent="0.25">
      <c r="A7" t="s">
        <v>7</v>
      </c>
      <c r="B7" t="str">
        <f>IFERROR(INDEX(Wahlpflichtmodule!$A$1:$C$17,E7,2),"")</f>
        <v/>
      </c>
      <c r="C7" t="str">
        <f ca="1">IFERROR(INDEX(Modulliste!B:B,MATCH(INDIRECT(CONCATENATE("B",ROW())),Modulliste!A:A,0)),"")</f>
        <v/>
      </c>
      <c r="E7" s="3" t="str">
        <f>IFERROR(MATCH(F7,Wahlpflichtmodule!$E$1:$E$18,0),"")</f>
        <v/>
      </c>
      <c r="F7" s="3">
        <v>3</v>
      </c>
      <c r="G7" s="3">
        <f>IF(B7="",0,COUNTIF($A$5:$C$32,B7))</f>
        <v>0</v>
      </c>
      <c r="H7" t="str">
        <f t="shared" si="0"/>
        <v/>
      </c>
    </row>
    <row r="8" spans="1:12" x14ac:dyDescent="0.25">
      <c r="G8" s="3"/>
      <c r="H8" t="str">
        <f t="shared" si="0"/>
        <v/>
      </c>
    </row>
    <row r="9" spans="1:12" x14ac:dyDescent="0.25">
      <c r="C9" s="15" t="str">
        <f>IF(Wahlpflichtmodule!F3=4,"Bitte ein Wahlpflichtmodul streichen","")</f>
        <v/>
      </c>
      <c r="E9" s="3" t="s">
        <v>43</v>
      </c>
      <c r="G9" s="3"/>
      <c r="H9" t="str">
        <f t="shared" si="0"/>
        <v/>
      </c>
    </row>
    <row r="10" spans="1:12" ht="18.75" x14ac:dyDescent="0.3">
      <c r="C10" s="2"/>
      <c r="E10" s="3"/>
      <c r="G10" s="3"/>
      <c r="H10" t="str">
        <f t="shared" si="0"/>
        <v/>
      </c>
    </row>
    <row r="11" spans="1:12" ht="20.25" thickBot="1" x14ac:dyDescent="0.35">
      <c r="A11" s="215" t="s">
        <v>201</v>
      </c>
      <c r="B11" s="215"/>
      <c r="C11" s="215"/>
      <c r="E11" s="3"/>
      <c r="G11" s="3"/>
      <c r="H11" t="str">
        <f t="shared" si="0"/>
        <v/>
      </c>
    </row>
    <row r="12" spans="1:12" ht="15.75" thickTop="1" x14ac:dyDescent="0.25">
      <c r="C12" s="15" t="str">
        <f>Spezialisierungsfach!A4</f>
        <v/>
      </c>
      <c r="E12" s="3" t="s">
        <v>202</v>
      </c>
      <c r="G12" s="3"/>
      <c r="H12" t="str">
        <f t="shared" si="0"/>
        <v/>
      </c>
    </row>
    <row r="13" spans="1:12" x14ac:dyDescent="0.25">
      <c r="G13" s="3"/>
      <c r="H13" t="str">
        <f t="shared" si="0"/>
        <v/>
      </c>
    </row>
    <row r="14" spans="1:12" x14ac:dyDescent="0.25">
      <c r="A14" t="s">
        <v>94</v>
      </c>
      <c r="E14" s="3" t="s">
        <v>41</v>
      </c>
      <c r="F14" s="3" t="s">
        <v>42</v>
      </c>
      <c r="G14" s="3"/>
      <c r="H14" t="str">
        <f t="shared" si="0"/>
        <v/>
      </c>
    </row>
    <row r="15" spans="1:12" x14ac:dyDescent="0.25">
      <c r="A15" s="216" t="e">
        <f>INDEX(Spezialisierungsfach!A6:A1000,Zusammenfassung!E15)</f>
        <v>#N/A</v>
      </c>
      <c r="B15" s="216"/>
      <c r="C15" s="216"/>
      <c r="E15" s="3" t="e">
        <f>MATCH(Zusammenfassung!F15,Spezialisierungsfach!$J$6:$J$487,0)</f>
        <v>#N/A</v>
      </c>
      <c r="F15" s="3" t="s">
        <v>84</v>
      </c>
      <c r="G15" s="3"/>
      <c r="H15" t="str">
        <f t="shared" si="0"/>
        <v/>
      </c>
      <c r="J15" t="s">
        <v>281</v>
      </c>
    </row>
    <row r="16" spans="1:12" x14ac:dyDescent="0.25">
      <c r="A16" t="s">
        <v>55</v>
      </c>
      <c r="B16" t="str">
        <f>IFERROR(INDEX(Spezialisierungsfach!$B$6:$B$487,Zusammenfassung!E16),"")</f>
        <v/>
      </c>
      <c r="C16" t="str">
        <f ca="1">IFERROR(INDEX(Modulliste!B:B,MATCH(INDIRECT(CONCATENATE("B",ROW())),Modulliste!A:A,0)),"")</f>
        <v/>
      </c>
      <c r="E16" s="3" t="e">
        <f>MATCH(Zusammenfassung!F16,Spezialisierungsfach!$J$6:$J$487,0)</f>
        <v>#N/A</v>
      </c>
      <c r="F16" s="3" t="s">
        <v>85</v>
      </c>
      <c r="G16" s="3">
        <f>IF(B16="",0,COUNTIF($A$5:$C$32,B16))</f>
        <v>0</v>
      </c>
      <c r="H16" t="str">
        <f t="shared" si="0"/>
        <v/>
      </c>
    </row>
    <row r="17" spans="1:10" x14ac:dyDescent="0.25">
      <c r="A17" t="s">
        <v>56</v>
      </c>
      <c r="B17" t="str">
        <f>IFERROR(INDEX(Spezialisierungsfach!$B$6:$B$487,Zusammenfassung!E17),"")</f>
        <v/>
      </c>
      <c r="C17" t="str">
        <f ca="1">IFERROR(INDEX(Modulliste!B:B,MATCH(INDIRECT(CONCATENATE("B",ROW())),Modulliste!A:A,0)),"")</f>
        <v/>
      </c>
      <c r="E17" s="3" t="e">
        <f>MATCH(Zusammenfassung!F17,Spezialisierungsfach!$J$6:$J$487,0)</f>
        <v>#N/A</v>
      </c>
      <c r="F17" s="3" t="s">
        <v>86</v>
      </c>
      <c r="G17" s="3">
        <f>IF(B17="",0,COUNTIF($A$5:$C$32,B17))</f>
        <v>0</v>
      </c>
      <c r="H17" t="str">
        <f t="shared" si="0"/>
        <v/>
      </c>
    </row>
    <row r="18" spans="1:10" x14ac:dyDescent="0.25">
      <c r="A18" t="s">
        <v>57</v>
      </c>
      <c r="B18" t="str">
        <f>IFERROR(INDEX(Spezialisierungsfach!$B$6:$B$487,Zusammenfassung!E18),"")</f>
        <v/>
      </c>
      <c r="C18" t="str">
        <f ca="1">IFERROR(INDEX(Modulliste!B:B,MATCH(INDIRECT(CONCATENATE("B",ROW())),Modulliste!A:A,0)),"")</f>
        <v/>
      </c>
      <c r="E18" s="3" t="e">
        <f>MATCH(Zusammenfassung!F18,Spezialisierungsfach!$J$6:$J$487,0)</f>
        <v>#N/A</v>
      </c>
      <c r="F18" s="3" t="s">
        <v>87</v>
      </c>
      <c r="G18" s="3">
        <f>IF(B18="",0,COUNTIF($A$5:$C$32,B18))</f>
        <v>0</v>
      </c>
      <c r="H18" t="str">
        <f t="shared" si="0"/>
        <v/>
      </c>
    </row>
    <row r="19" spans="1:10" x14ac:dyDescent="0.25">
      <c r="A19" t="s">
        <v>95</v>
      </c>
      <c r="B19" t="str">
        <f>IFERROR(INDEX(Spezialisierungsfach!$B$6:$B$487,Zusammenfassung!E19),"")</f>
        <v/>
      </c>
      <c r="C19" t="str">
        <f ca="1">IFERROR(INDEX(Modulliste!B:B,MATCH(INDIRECT(CONCATENATE("B",ROW())),Modulliste!A:A,0)),"")</f>
        <v/>
      </c>
      <c r="E19" s="3" t="e">
        <f>MATCH(Zusammenfassung!F19,Spezialisierungsfach!$J$6:$J$487,0)</f>
        <v>#N/A</v>
      </c>
      <c r="F19" s="3" t="s">
        <v>88</v>
      </c>
      <c r="G19" s="3">
        <f>IF(B19="",0,COUNTIF($A$5:$C$32,B19))</f>
        <v>0</v>
      </c>
      <c r="H19" t="str">
        <f t="shared" si="0"/>
        <v/>
      </c>
    </row>
    <row r="20" spans="1:10" x14ac:dyDescent="0.25">
      <c r="C20" s="1" t="str">
        <f>IF(Spezialisierungsfach!L7+Spezialisierungsfach!L8+Spezialisierungsfach!L9&gt;3,Spezialisierungsfach!M11,"")</f>
        <v/>
      </c>
      <c r="E20" s="3"/>
      <c r="F20" s="3"/>
      <c r="G20" s="3"/>
      <c r="H20" t="str">
        <f t="shared" si="0"/>
        <v/>
      </c>
    </row>
    <row r="21" spans="1:10" x14ac:dyDescent="0.25">
      <c r="E21" s="3"/>
      <c r="F21" s="3"/>
      <c r="G21" s="3"/>
      <c r="H21" t="str">
        <f t="shared" si="0"/>
        <v/>
      </c>
    </row>
    <row r="22" spans="1:10" x14ac:dyDescent="0.25">
      <c r="E22" s="3"/>
      <c r="F22" s="3"/>
      <c r="G22" s="3"/>
      <c r="H22" t="str">
        <f t="shared" si="0"/>
        <v/>
      </c>
    </row>
    <row r="23" spans="1:10" x14ac:dyDescent="0.25">
      <c r="A23" t="s">
        <v>203</v>
      </c>
      <c r="E23" s="3"/>
      <c r="F23" s="3"/>
      <c r="G23" s="3"/>
      <c r="H23" t="str">
        <f t="shared" si="0"/>
        <v/>
      </c>
    </row>
    <row r="24" spans="1:10" x14ac:dyDescent="0.25">
      <c r="A24" s="4" t="e">
        <f>INDEX(Spezialisierungsfach!A6:A1000,E24)</f>
        <v>#N/A</v>
      </c>
      <c r="E24" s="3" t="e">
        <f>MATCH(Zusammenfassung!F24,Spezialisierungsfach!$J$6:$J$487,0)</f>
        <v>#N/A</v>
      </c>
      <c r="F24" s="3" t="s">
        <v>89</v>
      </c>
      <c r="G24" s="3"/>
      <c r="H24" t="str">
        <f t="shared" si="0"/>
        <v/>
      </c>
    </row>
    <row r="25" spans="1:10" x14ac:dyDescent="0.25">
      <c r="A25" t="s">
        <v>55</v>
      </c>
      <c r="B25" t="str">
        <f>IFERROR(INDEX(Spezialisierungsfach!$B$6:$B$487,Zusammenfassung!E25),"")</f>
        <v/>
      </c>
      <c r="C25" t="str">
        <f ca="1">IFERROR(INDEX(Modulliste!B:B,MATCH(INDIRECT(CONCATENATE("B",ROW())),Modulliste!A:A,0)),"")</f>
        <v/>
      </c>
      <c r="E25" s="3" t="e">
        <f>MATCH(Zusammenfassung!F25,Spezialisierungsfach!$J$6:$J$487,0)</f>
        <v>#N/A</v>
      </c>
      <c r="F25" s="3" t="s">
        <v>90</v>
      </c>
      <c r="G25" s="3">
        <f>IF(B25="",0,COUNTIF($A$5:$C$32,B25))</f>
        <v>0</v>
      </c>
      <c r="H25" t="str">
        <f t="shared" si="0"/>
        <v/>
      </c>
    </row>
    <row r="26" spans="1:10" x14ac:dyDescent="0.25">
      <c r="A26" t="s">
        <v>56</v>
      </c>
      <c r="B26" t="str">
        <f>IFERROR(INDEX(Spezialisierungsfach!$B$6:$B$487,Zusammenfassung!E26),"")</f>
        <v/>
      </c>
      <c r="C26" t="str">
        <f ca="1">IFERROR(INDEX(Modulliste!B:B,MATCH(INDIRECT(CONCATENATE("B",ROW())),Modulliste!A:A,0)),"")</f>
        <v/>
      </c>
      <c r="E26" s="3" t="e">
        <f>MATCH(Zusammenfassung!F26,Spezialisierungsfach!$J$6:$J$487,0)</f>
        <v>#N/A</v>
      </c>
      <c r="F26" s="3" t="s">
        <v>91</v>
      </c>
      <c r="G26" s="3">
        <f>IF(B26="",0,COUNTIF($A$5:$C$32,B26))</f>
        <v>0</v>
      </c>
      <c r="H26" t="str">
        <f t="shared" si="0"/>
        <v/>
      </c>
    </row>
    <row r="27" spans="1:10" x14ac:dyDescent="0.25">
      <c r="A27" t="s">
        <v>57</v>
      </c>
      <c r="B27" t="str">
        <f>IFERROR(INDEX(Spezialisierungsfach!$B$6:$B$487,Zusammenfassung!E27),"")</f>
        <v/>
      </c>
      <c r="C27" t="str">
        <f ca="1">IFERROR(INDEX(Modulliste!B:B,MATCH(INDIRECT(CONCATENATE("B",ROW())),Modulliste!A:A,0)),"")</f>
        <v/>
      </c>
      <c r="E27" s="3" t="e">
        <f>MATCH(Zusammenfassung!F27,Spezialisierungsfach!$J$6:$J$487,0)</f>
        <v>#N/A</v>
      </c>
      <c r="F27" s="3" t="s">
        <v>92</v>
      </c>
      <c r="G27" s="3">
        <f>IF(B27="",0,COUNTIF($A$5:$C$32,B27))</f>
        <v>0</v>
      </c>
      <c r="H27" t="str">
        <f t="shared" si="0"/>
        <v/>
      </c>
      <c r="J27" t="s">
        <v>282</v>
      </c>
    </row>
    <row r="28" spans="1:10" x14ac:dyDescent="0.25">
      <c r="A28" t="s">
        <v>96</v>
      </c>
      <c r="B28" t="str">
        <f>IFERROR(INDEX(Spezialisierungsfach!$B$6:$B$487,Zusammenfassung!E28),"")</f>
        <v/>
      </c>
      <c r="C28" t="str">
        <f ca="1">IFERROR(INDEX(Modulliste!B:B,MATCH(INDIRECT(CONCATENATE("B",ROW())),Modulliste!A:A,0)),"")</f>
        <v/>
      </c>
      <c r="E28" s="3" t="e">
        <f>MATCH(Zusammenfassung!F28,Spezialisierungsfach!$J$6:$J$487,0)</f>
        <v>#N/A</v>
      </c>
      <c r="F28" s="3" t="s">
        <v>93</v>
      </c>
      <c r="G28" s="3">
        <f>IF(B28="",0,COUNTIF($A$5:$C$32,B28))</f>
        <v>0</v>
      </c>
      <c r="H28" t="str">
        <f t="shared" si="0"/>
        <v/>
      </c>
    </row>
    <row r="29" spans="1:10" x14ac:dyDescent="0.25">
      <c r="G29" s="3"/>
      <c r="H29" t="str">
        <f t="shared" si="0"/>
        <v/>
      </c>
    </row>
    <row r="30" spans="1:10" ht="20.25" thickBot="1" x14ac:dyDescent="0.35">
      <c r="A30" s="215" t="s">
        <v>252</v>
      </c>
      <c r="B30" s="215"/>
      <c r="C30" s="215"/>
      <c r="G30" s="3"/>
      <c r="H30" t="str">
        <f t="shared" si="0"/>
        <v/>
      </c>
      <c r="J30" t="s">
        <v>283</v>
      </c>
    </row>
    <row r="31" spans="1:10" ht="15.75" thickTop="1" x14ac:dyDescent="0.25">
      <c r="A31" t="s">
        <v>253</v>
      </c>
      <c r="B31" t="str">
        <f>IF('B.Sc.-Ergänzungsmodule'!G1=0,"",INDEX('B.Sc.-Ergänzungsmodule'!$B$1:$C$101,'B.Sc.-Ergänzungsmodule'!$G$1,1))</f>
        <v/>
      </c>
      <c r="C31" t="str">
        <f ca="1">IFERROR(INDEX(Modulliste!B:B,MATCH(INDIRECT(CONCATENATE("B",ROW())),Modulliste!A:A,0)),"")</f>
        <v/>
      </c>
      <c r="G31" s="3">
        <f>IF(B31="",0,COUNTIF($A$5:$C$32,B31))</f>
        <v>0</v>
      </c>
      <c r="H31" t="str">
        <f t="shared" si="0"/>
        <v/>
      </c>
    </row>
    <row r="32" spans="1:10" x14ac:dyDescent="0.25">
      <c r="A32" t="s">
        <v>254</v>
      </c>
      <c r="B32" t="str">
        <f>IF('B.Sc.-Ergänzungsmodule'!G3=1,"",IF('B.Sc.-Ergänzungsmodule'!G2=0,"",(INDEX('B.Sc.-Ergänzungsmodule'!$B$1:$C$101,'B.Sc.-Ergänzungsmodule'!$G$2,1))))</f>
        <v/>
      </c>
      <c r="C32" t="str">
        <f ca="1">IFERROR(INDEX(Modulliste!B:B,MATCH(INDIRECT(CONCATENATE("B",ROW())),Modulliste!A:A,0)),"")</f>
        <v/>
      </c>
      <c r="G32" s="3">
        <f>IF(B32="",0,COUNTIF($A$5:$C$32,B32))</f>
        <v>0</v>
      </c>
      <c r="H32" t="str">
        <f t="shared" si="0"/>
        <v/>
      </c>
    </row>
    <row r="33" spans="2:3" x14ac:dyDescent="0.25">
      <c r="B33" t="str">
        <f>IF('B.Sc.-Ergänzungsmodule'!G3=1,"",IF('B.Sc.-Ergänzungsmodule'!G2=0,"",(INDEX('B.Sc.-Ergänzungsmodule'!$B$1:$C$101,'B.Sc.-Ergänzungsmodule'!$G$2,1))))</f>
        <v/>
      </c>
    </row>
    <row r="34" spans="2:3" x14ac:dyDescent="0.25">
      <c r="C34" s="15" t="str">
        <f>IF('B.Sc.-Ergänzungsmodule'!A3:C3=0,"",'B.Sc.-Ergänzungsmodule'!A3:C3)</f>
        <v/>
      </c>
    </row>
    <row r="36" spans="2:3" x14ac:dyDescent="0.25">
      <c r="C36" s="15" t="str">
        <f>IFERROR(IF(G4&gt;1,"Mindestens ein Modul wurde doppelt gewählt",""),"")</f>
        <v/>
      </c>
    </row>
  </sheetData>
  <mergeCells count="4">
    <mergeCell ref="A3:C3"/>
    <mergeCell ref="A15:C15"/>
    <mergeCell ref="A11:C11"/>
    <mergeCell ref="A30:C30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E9903-5598-40FE-943F-01050513B8D5}">
  <dimension ref="A1:A13"/>
  <sheetViews>
    <sheetView showGridLines="0" tabSelected="1" workbookViewId="0"/>
  </sheetViews>
  <sheetFormatPr baseColWidth="10" defaultColWidth="0" defaultRowHeight="15" x14ac:dyDescent="0.25"/>
  <cols>
    <col min="1" max="1" width="150.85546875" customWidth="1"/>
    <col min="2" max="16384" width="11.42578125" hidden="1"/>
  </cols>
  <sheetData>
    <row r="1" spans="1:1" x14ac:dyDescent="0.25">
      <c r="A1" t="s">
        <v>262</v>
      </c>
    </row>
    <row r="3" spans="1:1" ht="30" x14ac:dyDescent="0.25">
      <c r="A3" s="105" t="s">
        <v>269</v>
      </c>
    </row>
    <row r="5" spans="1:1" x14ac:dyDescent="0.25">
      <c r="A5" t="s">
        <v>263</v>
      </c>
    </row>
    <row r="6" spans="1:1" x14ac:dyDescent="0.25">
      <c r="A6" t="s">
        <v>284</v>
      </c>
    </row>
    <row r="8" spans="1:1" x14ac:dyDescent="0.25">
      <c r="A8" t="s">
        <v>264</v>
      </c>
    </row>
    <row r="10" spans="1:1" x14ac:dyDescent="0.25">
      <c r="A10" s="4" t="s">
        <v>265</v>
      </c>
    </row>
    <row r="11" spans="1:1" x14ac:dyDescent="0.25">
      <c r="A11" t="s">
        <v>266</v>
      </c>
    </row>
    <row r="12" spans="1:1" x14ac:dyDescent="0.25">
      <c r="A12" t="s">
        <v>267</v>
      </c>
    </row>
    <row r="13" spans="1:1" x14ac:dyDescent="0.25">
      <c r="A13" t="s">
        <v>268</v>
      </c>
    </row>
  </sheetData>
  <sheetProtection selectLockedCells="1"/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33C59-F6AA-43F5-94E2-8B4F0B2DF489}">
  <dimension ref="A1:B162"/>
  <sheetViews>
    <sheetView topLeftCell="A4" workbookViewId="0">
      <selection activeCell="G33" sqref="G33"/>
    </sheetView>
  </sheetViews>
  <sheetFormatPr baseColWidth="10" defaultRowHeight="15" x14ac:dyDescent="0.25"/>
  <cols>
    <col min="1" max="1" width="15.28515625" customWidth="1"/>
    <col min="2" max="2" width="74.28515625" customWidth="1"/>
  </cols>
  <sheetData>
    <row r="1" spans="1:2" x14ac:dyDescent="0.25">
      <c r="A1" t="s">
        <v>2</v>
      </c>
      <c r="B1" t="s">
        <v>3</v>
      </c>
    </row>
    <row r="2" spans="1:2" x14ac:dyDescent="0.25">
      <c r="A2">
        <v>10670</v>
      </c>
      <c r="B2" t="s">
        <v>241</v>
      </c>
    </row>
    <row r="3" spans="1:2" x14ac:dyDescent="0.25">
      <c r="A3">
        <v>11580</v>
      </c>
      <c r="B3" t="s">
        <v>228</v>
      </c>
    </row>
    <row r="4" spans="1:2" x14ac:dyDescent="0.25">
      <c r="A4">
        <v>12250</v>
      </c>
      <c r="B4" t="s">
        <v>229</v>
      </c>
    </row>
    <row r="5" spans="1:2" x14ac:dyDescent="0.25">
      <c r="A5">
        <v>12270</v>
      </c>
      <c r="B5" t="s">
        <v>27</v>
      </c>
    </row>
    <row r="6" spans="1:2" x14ac:dyDescent="0.25">
      <c r="A6">
        <v>13040</v>
      </c>
      <c r="B6" t="s">
        <v>230</v>
      </c>
    </row>
    <row r="7" spans="1:2" x14ac:dyDescent="0.25">
      <c r="A7">
        <v>13060</v>
      </c>
      <c r="B7" t="s">
        <v>231</v>
      </c>
    </row>
    <row r="8" spans="1:2" x14ac:dyDescent="0.25">
      <c r="A8">
        <v>13330</v>
      </c>
      <c r="B8" t="s">
        <v>11</v>
      </c>
    </row>
    <row r="9" spans="1:2" x14ac:dyDescent="0.25">
      <c r="A9">
        <v>13530</v>
      </c>
      <c r="B9" t="s">
        <v>72</v>
      </c>
    </row>
    <row r="10" spans="1:2" x14ac:dyDescent="0.25">
      <c r="A10">
        <v>13540</v>
      </c>
      <c r="B10" t="s">
        <v>109</v>
      </c>
    </row>
    <row r="11" spans="1:2" x14ac:dyDescent="0.25">
      <c r="A11">
        <v>13550</v>
      </c>
      <c r="B11" t="s">
        <v>20</v>
      </c>
    </row>
    <row r="12" spans="1:2" x14ac:dyDescent="0.25">
      <c r="A12">
        <v>13560</v>
      </c>
      <c r="B12" t="s">
        <v>111</v>
      </c>
    </row>
    <row r="13" spans="1:2" x14ac:dyDescent="0.25">
      <c r="A13">
        <v>13570</v>
      </c>
      <c r="B13" t="s">
        <v>21</v>
      </c>
    </row>
    <row r="14" spans="1:2" x14ac:dyDescent="0.25">
      <c r="A14">
        <v>13580</v>
      </c>
      <c r="B14" t="s">
        <v>22</v>
      </c>
    </row>
    <row r="15" spans="1:2" x14ac:dyDescent="0.25">
      <c r="A15">
        <v>13590</v>
      </c>
      <c r="B15" t="s">
        <v>12</v>
      </c>
    </row>
    <row r="16" spans="1:2" x14ac:dyDescent="0.25">
      <c r="A16">
        <v>13830</v>
      </c>
      <c r="B16" t="s">
        <v>242</v>
      </c>
    </row>
    <row r="17" spans="1:2" x14ac:dyDescent="0.25">
      <c r="A17">
        <v>13880</v>
      </c>
      <c r="B17" t="s">
        <v>243</v>
      </c>
    </row>
    <row r="18" spans="1:2" x14ac:dyDescent="0.25">
      <c r="A18">
        <v>13900</v>
      </c>
      <c r="B18" t="s">
        <v>13</v>
      </c>
    </row>
    <row r="19" spans="1:2" x14ac:dyDescent="0.25">
      <c r="A19">
        <v>13910</v>
      </c>
      <c r="B19" t="s">
        <v>29</v>
      </c>
    </row>
    <row r="20" spans="1:2" x14ac:dyDescent="0.25">
      <c r="A20">
        <v>13920</v>
      </c>
      <c r="B20" t="s">
        <v>14</v>
      </c>
    </row>
    <row r="21" spans="1:2" x14ac:dyDescent="0.25">
      <c r="A21">
        <v>13940</v>
      </c>
      <c r="B21" t="s">
        <v>30</v>
      </c>
    </row>
    <row r="22" spans="1:2" x14ac:dyDescent="0.25">
      <c r="A22">
        <v>13970</v>
      </c>
      <c r="B22" t="s">
        <v>15</v>
      </c>
    </row>
    <row r="23" spans="1:2" x14ac:dyDescent="0.25">
      <c r="A23">
        <v>13980</v>
      </c>
      <c r="B23" t="s">
        <v>232</v>
      </c>
    </row>
    <row r="24" spans="1:2" x14ac:dyDescent="0.25">
      <c r="A24">
        <v>14010</v>
      </c>
      <c r="B24" t="s">
        <v>10</v>
      </c>
    </row>
    <row r="25" spans="1:2" x14ac:dyDescent="0.25">
      <c r="A25">
        <v>14020</v>
      </c>
      <c r="B25" t="s">
        <v>31</v>
      </c>
    </row>
    <row r="26" spans="1:2" x14ac:dyDescent="0.25">
      <c r="A26">
        <v>14030</v>
      </c>
      <c r="B26" t="s">
        <v>233</v>
      </c>
    </row>
    <row r="27" spans="1:2" x14ac:dyDescent="0.25">
      <c r="A27">
        <v>14060</v>
      </c>
      <c r="B27" t="s">
        <v>23</v>
      </c>
    </row>
    <row r="28" spans="1:2" x14ac:dyDescent="0.25">
      <c r="A28">
        <v>14070</v>
      </c>
      <c r="B28" t="s">
        <v>32</v>
      </c>
    </row>
    <row r="29" spans="1:2" x14ac:dyDescent="0.25">
      <c r="A29">
        <v>14090</v>
      </c>
      <c r="B29" t="s">
        <v>33</v>
      </c>
    </row>
    <row r="30" spans="1:2" x14ac:dyDescent="0.25">
      <c r="A30">
        <v>14100</v>
      </c>
      <c r="B30" t="s">
        <v>34</v>
      </c>
    </row>
    <row r="31" spans="1:2" x14ac:dyDescent="0.25">
      <c r="A31">
        <v>14110</v>
      </c>
      <c r="B31" t="s">
        <v>35</v>
      </c>
    </row>
    <row r="32" spans="1:2" x14ac:dyDescent="0.25">
      <c r="A32">
        <v>14130</v>
      </c>
      <c r="B32" t="s">
        <v>16</v>
      </c>
    </row>
    <row r="33" spans="1:2" x14ac:dyDescent="0.25">
      <c r="A33">
        <v>14140</v>
      </c>
      <c r="B33" t="s">
        <v>24</v>
      </c>
    </row>
    <row r="34" spans="1:2" x14ac:dyDescent="0.25">
      <c r="A34">
        <v>14150</v>
      </c>
      <c r="B34" t="s">
        <v>119</v>
      </c>
    </row>
    <row r="35" spans="1:2" x14ac:dyDescent="0.25">
      <c r="A35">
        <v>14160</v>
      </c>
      <c r="B35" t="s">
        <v>6</v>
      </c>
    </row>
    <row r="36" spans="1:2" x14ac:dyDescent="0.25">
      <c r="A36">
        <v>14180</v>
      </c>
      <c r="B36" t="s">
        <v>36</v>
      </c>
    </row>
    <row r="37" spans="1:2" x14ac:dyDescent="0.25">
      <c r="A37">
        <v>14190</v>
      </c>
      <c r="B37" t="s">
        <v>234</v>
      </c>
    </row>
    <row r="38" spans="1:2" x14ac:dyDescent="0.25">
      <c r="A38">
        <v>14230</v>
      </c>
      <c r="B38" t="s">
        <v>25</v>
      </c>
    </row>
    <row r="39" spans="1:2" x14ac:dyDescent="0.25">
      <c r="A39">
        <v>14240</v>
      </c>
      <c r="B39" t="s">
        <v>17</v>
      </c>
    </row>
    <row r="40" spans="1:2" x14ac:dyDescent="0.25">
      <c r="A40">
        <v>14280</v>
      </c>
      <c r="B40" t="s">
        <v>235</v>
      </c>
    </row>
    <row r="41" spans="1:2" x14ac:dyDescent="0.25">
      <c r="A41">
        <v>14310</v>
      </c>
      <c r="B41" t="s">
        <v>18</v>
      </c>
    </row>
    <row r="42" spans="1:2" x14ac:dyDescent="0.25">
      <c r="A42">
        <v>15600</v>
      </c>
      <c r="B42" t="s">
        <v>236</v>
      </c>
    </row>
    <row r="43" spans="1:2" x14ac:dyDescent="0.25">
      <c r="A43">
        <v>16000</v>
      </c>
      <c r="B43" t="s">
        <v>237</v>
      </c>
    </row>
    <row r="44" spans="1:2" x14ac:dyDescent="0.25">
      <c r="A44">
        <v>16260</v>
      </c>
      <c r="B44" t="s">
        <v>244</v>
      </c>
    </row>
    <row r="45" spans="1:2" x14ac:dyDescent="0.25">
      <c r="A45">
        <v>17530</v>
      </c>
      <c r="B45" t="s">
        <v>245</v>
      </c>
    </row>
    <row r="46" spans="1:2" x14ac:dyDescent="0.25">
      <c r="A46">
        <v>17570</v>
      </c>
      <c r="B46" t="s">
        <v>246</v>
      </c>
    </row>
    <row r="47" spans="1:2" x14ac:dyDescent="0.25">
      <c r="A47">
        <v>17580</v>
      </c>
      <c r="B47" t="s">
        <v>247</v>
      </c>
    </row>
    <row r="48" spans="1:2" x14ac:dyDescent="0.25">
      <c r="A48">
        <v>18110</v>
      </c>
      <c r="B48" t="s">
        <v>238</v>
      </c>
    </row>
    <row r="49" spans="1:2" x14ac:dyDescent="0.25">
      <c r="A49">
        <v>24590</v>
      </c>
      <c r="B49" t="s">
        <v>37</v>
      </c>
    </row>
    <row r="50" spans="1:2" x14ac:dyDescent="0.25">
      <c r="A50">
        <v>29210</v>
      </c>
      <c r="B50" t="s">
        <v>168</v>
      </c>
    </row>
    <row r="51" spans="1:2" x14ac:dyDescent="0.25">
      <c r="A51">
        <v>30390</v>
      </c>
      <c r="B51" t="s">
        <v>9</v>
      </c>
    </row>
    <row r="52" spans="1:2" x14ac:dyDescent="0.25">
      <c r="A52">
        <v>30400</v>
      </c>
      <c r="B52" t="s">
        <v>8</v>
      </c>
    </row>
    <row r="53" spans="1:2" x14ac:dyDescent="0.25">
      <c r="A53">
        <v>30540</v>
      </c>
      <c r="B53" t="s">
        <v>178</v>
      </c>
    </row>
    <row r="54" spans="1:2" x14ac:dyDescent="0.25">
      <c r="A54">
        <v>30740</v>
      </c>
      <c r="B54" t="s">
        <v>172</v>
      </c>
    </row>
    <row r="55" spans="1:2" x14ac:dyDescent="0.25">
      <c r="A55">
        <v>30770</v>
      </c>
      <c r="B55" t="s">
        <v>170</v>
      </c>
    </row>
    <row r="56" spans="1:2" x14ac:dyDescent="0.25">
      <c r="A56">
        <v>30780</v>
      </c>
      <c r="B56" t="s">
        <v>173</v>
      </c>
    </row>
    <row r="57" spans="1:2" x14ac:dyDescent="0.25">
      <c r="A57">
        <v>30820</v>
      </c>
      <c r="B57" t="s">
        <v>175</v>
      </c>
    </row>
    <row r="58" spans="1:2" x14ac:dyDescent="0.25">
      <c r="A58">
        <v>30830</v>
      </c>
      <c r="B58" t="s">
        <v>176</v>
      </c>
    </row>
    <row r="59" spans="1:2" x14ac:dyDescent="0.25">
      <c r="A59">
        <v>30840</v>
      </c>
      <c r="B59" t="s">
        <v>179</v>
      </c>
    </row>
    <row r="60" spans="1:2" x14ac:dyDescent="0.25">
      <c r="A60">
        <v>30850</v>
      </c>
      <c r="B60" t="s">
        <v>181</v>
      </c>
    </row>
    <row r="61" spans="1:2" x14ac:dyDescent="0.25">
      <c r="A61">
        <v>30860</v>
      </c>
      <c r="B61" t="s">
        <v>180</v>
      </c>
    </row>
    <row r="62" spans="1:2" x14ac:dyDescent="0.25">
      <c r="A62">
        <v>30870</v>
      </c>
      <c r="B62" t="s">
        <v>182</v>
      </c>
    </row>
    <row r="63" spans="1:2" x14ac:dyDescent="0.25">
      <c r="A63">
        <v>30900</v>
      </c>
      <c r="B63" t="s">
        <v>123</v>
      </c>
    </row>
    <row r="64" spans="1:2" x14ac:dyDescent="0.25">
      <c r="A64">
        <v>30910</v>
      </c>
      <c r="B64" t="s">
        <v>128</v>
      </c>
    </row>
    <row r="65" spans="1:2" x14ac:dyDescent="0.25">
      <c r="A65">
        <v>30940</v>
      </c>
      <c r="B65" t="s">
        <v>64</v>
      </c>
    </row>
    <row r="66" spans="1:2" x14ac:dyDescent="0.25">
      <c r="A66">
        <v>31680</v>
      </c>
      <c r="B66" t="s">
        <v>53</v>
      </c>
    </row>
    <row r="67" spans="1:2" x14ac:dyDescent="0.25">
      <c r="A67">
        <v>32050</v>
      </c>
      <c r="B67" t="s">
        <v>121</v>
      </c>
    </row>
    <row r="68" spans="1:2" x14ac:dyDescent="0.25">
      <c r="A68">
        <v>32060</v>
      </c>
      <c r="B68" t="s">
        <v>120</v>
      </c>
    </row>
    <row r="69" spans="1:2" x14ac:dyDescent="0.25">
      <c r="A69">
        <v>32070</v>
      </c>
      <c r="B69" t="s">
        <v>127</v>
      </c>
    </row>
    <row r="70" spans="1:2" x14ac:dyDescent="0.25">
      <c r="A70">
        <v>32080</v>
      </c>
      <c r="B70" t="s">
        <v>126</v>
      </c>
    </row>
    <row r="71" spans="1:2" x14ac:dyDescent="0.25">
      <c r="A71">
        <v>32090</v>
      </c>
      <c r="B71" t="s">
        <v>124</v>
      </c>
    </row>
    <row r="72" spans="1:2" x14ac:dyDescent="0.25">
      <c r="A72">
        <v>32140</v>
      </c>
      <c r="B72" t="s">
        <v>51</v>
      </c>
    </row>
    <row r="73" spans="1:2" x14ac:dyDescent="0.25">
      <c r="A73">
        <v>32160</v>
      </c>
      <c r="B73" t="s">
        <v>78</v>
      </c>
    </row>
    <row r="74" spans="1:2" x14ac:dyDescent="0.25">
      <c r="A74">
        <v>32220</v>
      </c>
      <c r="B74" t="s">
        <v>38</v>
      </c>
    </row>
    <row r="75" spans="1:2" x14ac:dyDescent="0.25">
      <c r="A75">
        <v>32240</v>
      </c>
      <c r="B75" t="s">
        <v>159</v>
      </c>
    </row>
    <row r="76" spans="1:2" x14ac:dyDescent="0.25">
      <c r="A76">
        <v>32250</v>
      </c>
      <c r="B76" t="s">
        <v>26</v>
      </c>
    </row>
    <row r="77" spans="1:2" x14ac:dyDescent="0.25">
      <c r="A77">
        <v>32280</v>
      </c>
      <c r="B77" t="s">
        <v>239</v>
      </c>
    </row>
    <row r="78" spans="1:2" x14ac:dyDescent="0.25">
      <c r="A78">
        <v>32300</v>
      </c>
      <c r="B78" t="s">
        <v>0</v>
      </c>
    </row>
    <row r="79" spans="1:2" x14ac:dyDescent="0.25">
      <c r="A79">
        <v>32310</v>
      </c>
      <c r="B79" t="s">
        <v>60</v>
      </c>
    </row>
    <row r="80" spans="1:2" x14ac:dyDescent="0.25">
      <c r="A80">
        <v>32320</v>
      </c>
      <c r="B80" t="s">
        <v>45</v>
      </c>
    </row>
    <row r="81" spans="1:2" x14ac:dyDescent="0.25">
      <c r="A81">
        <v>32330</v>
      </c>
      <c r="B81" t="s">
        <v>103</v>
      </c>
    </row>
    <row r="82" spans="1:2" x14ac:dyDescent="0.25">
      <c r="A82">
        <v>32340</v>
      </c>
      <c r="B82" t="s">
        <v>48</v>
      </c>
    </row>
    <row r="83" spans="1:2" x14ac:dyDescent="0.25">
      <c r="A83">
        <v>32350</v>
      </c>
      <c r="B83" t="s">
        <v>46</v>
      </c>
    </row>
    <row r="84" spans="1:2" x14ac:dyDescent="0.25">
      <c r="A84">
        <v>32360</v>
      </c>
      <c r="B84" t="s">
        <v>63</v>
      </c>
    </row>
    <row r="85" spans="1:2" x14ac:dyDescent="0.25">
      <c r="A85">
        <v>32370</v>
      </c>
      <c r="B85" t="s">
        <v>65</v>
      </c>
    </row>
    <row r="86" spans="1:2" x14ac:dyDescent="0.25">
      <c r="A86">
        <v>32380</v>
      </c>
      <c r="B86" t="s">
        <v>52</v>
      </c>
    </row>
    <row r="87" spans="1:2" x14ac:dyDescent="0.25">
      <c r="A87">
        <v>32390</v>
      </c>
      <c r="B87" t="s">
        <v>53</v>
      </c>
    </row>
    <row r="88" spans="1:2" x14ac:dyDescent="0.25">
      <c r="A88">
        <v>32480</v>
      </c>
      <c r="B88" t="s">
        <v>112</v>
      </c>
    </row>
    <row r="89" spans="1:2" x14ac:dyDescent="0.25">
      <c r="A89">
        <v>32570</v>
      </c>
      <c r="B89" t="s">
        <v>125</v>
      </c>
    </row>
    <row r="90" spans="1:2" x14ac:dyDescent="0.25">
      <c r="A90">
        <v>32620</v>
      </c>
      <c r="B90" t="s">
        <v>104</v>
      </c>
    </row>
    <row r="91" spans="1:2" x14ac:dyDescent="0.25">
      <c r="A91">
        <v>32670</v>
      </c>
      <c r="B91" t="s">
        <v>135</v>
      </c>
    </row>
    <row r="92" spans="1:2" x14ac:dyDescent="0.25">
      <c r="A92">
        <v>32700</v>
      </c>
      <c r="B92" t="s">
        <v>142</v>
      </c>
    </row>
    <row r="93" spans="1:2" x14ac:dyDescent="0.25">
      <c r="A93">
        <v>32730</v>
      </c>
      <c r="B93" t="s">
        <v>107</v>
      </c>
    </row>
    <row r="94" spans="1:2" x14ac:dyDescent="0.25">
      <c r="A94">
        <v>32870</v>
      </c>
      <c r="B94" t="s">
        <v>184</v>
      </c>
    </row>
    <row r="95" spans="1:2" x14ac:dyDescent="0.25">
      <c r="A95">
        <v>32880</v>
      </c>
      <c r="B95" t="s">
        <v>115</v>
      </c>
    </row>
    <row r="96" spans="1:2" x14ac:dyDescent="0.25">
      <c r="A96">
        <v>32900</v>
      </c>
      <c r="B96" t="s">
        <v>75</v>
      </c>
    </row>
    <row r="97" spans="1:2" x14ac:dyDescent="0.25">
      <c r="A97">
        <v>32940</v>
      </c>
      <c r="B97" t="s">
        <v>102</v>
      </c>
    </row>
    <row r="98" spans="1:2" x14ac:dyDescent="0.25">
      <c r="A98">
        <v>33030</v>
      </c>
      <c r="B98" t="s">
        <v>130</v>
      </c>
    </row>
    <row r="99" spans="1:2" x14ac:dyDescent="0.25">
      <c r="A99">
        <v>33260</v>
      </c>
      <c r="B99" t="s">
        <v>108</v>
      </c>
    </row>
    <row r="100" spans="1:2" x14ac:dyDescent="0.25">
      <c r="A100">
        <v>33280</v>
      </c>
      <c r="B100" t="s">
        <v>116</v>
      </c>
    </row>
    <row r="101" spans="1:2" x14ac:dyDescent="0.25">
      <c r="A101">
        <v>33300</v>
      </c>
      <c r="B101" t="s">
        <v>113</v>
      </c>
    </row>
    <row r="102" spans="1:2" x14ac:dyDescent="0.25">
      <c r="A102">
        <v>33310</v>
      </c>
      <c r="B102" t="s">
        <v>114</v>
      </c>
    </row>
    <row r="103" spans="1:2" x14ac:dyDescent="0.25">
      <c r="A103">
        <v>33440</v>
      </c>
      <c r="B103" t="s">
        <v>186</v>
      </c>
    </row>
    <row r="104" spans="1:2" x14ac:dyDescent="0.25">
      <c r="A104">
        <v>33470</v>
      </c>
      <c r="B104" t="s">
        <v>163</v>
      </c>
    </row>
    <row r="105" spans="1:2" x14ac:dyDescent="0.25">
      <c r="A105">
        <v>33670</v>
      </c>
      <c r="B105" t="s">
        <v>188</v>
      </c>
    </row>
    <row r="106" spans="1:2" x14ac:dyDescent="0.25">
      <c r="A106">
        <v>33710</v>
      </c>
      <c r="B106" t="s">
        <v>110</v>
      </c>
    </row>
    <row r="107" spans="1:2" x14ac:dyDescent="0.25">
      <c r="A107">
        <v>33720</v>
      </c>
      <c r="B107" t="s">
        <v>105</v>
      </c>
    </row>
    <row r="108" spans="1:2" x14ac:dyDescent="0.25">
      <c r="A108">
        <v>33760</v>
      </c>
      <c r="B108" t="s">
        <v>160</v>
      </c>
    </row>
    <row r="109" spans="1:2" x14ac:dyDescent="0.25">
      <c r="A109">
        <v>33780</v>
      </c>
      <c r="B109" t="s">
        <v>117</v>
      </c>
    </row>
    <row r="110" spans="1:2" x14ac:dyDescent="0.25">
      <c r="A110">
        <v>33790</v>
      </c>
      <c r="B110" t="s">
        <v>145</v>
      </c>
    </row>
    <row r="111" spans="1:2" x14ac:dyDescent="0.25">
      <c r="A111">
        <v>33810</v>
      </c>
      <c r="B111" t="s">
        <v>164</v>
      </c>
    </row>
    <row r="112" spans="1:2" x14ac:dyDescent="0.25">
      <c r="A112">
        <v>33910</v>
      </c>
      <c r="B112" t="s">
        <v>189</v>
      </c>
    </row>
    <row r="113" spans="1:2" x14ac:dyDescent="0.25">
      <c r="A113">
        <v>33930</v>
      </c>
      <c r="B113" t="s">
        <v>74</v>
      </c>
    </row>
    <row r="114" spans="1:2" x14ac:dyDescent="0.25">
      <c r="A114">
        <v>34110</v>
      </c>
      <c r="B114" t="s">
        <v>152</v>
      </c>
    </row>
    <row r="115" spans="1:2" x14ac:dyDescent="0.25">
      <c r="A115">
        <v>34120</v>
      </c>
      <c r="B115" t="s">
        <v>1</v>
      </c>
    </row>
    <row r="116" spans="1:2" x14ac:dyDescent="0.25">
      <c r="A116">
        <v>36050</v>
      </c>
      <c r="B116" t="s">
        <v>49</v>
      </c>
    </row>
    <row r="117" spans="1:2" x14ac:dyDescent="0.25">
      <c r="A117">
        <v>36640</v>
      </c>
      <c r="B117" t="s">
        <v>131</v>
      </c>
    </row>
    <row r="118" spans="1:2" x14ac:dyDescent="0.25">
      <c r="A118">
        <v>36910</v>
      </c>
      <c r="B118" t="s">
        <v>141</v>
      </c>
    </row>
    <row r="119" spans="1:2" x14ac:dyDescent="0.25">
      <c r="A119">
        <v>37690</v>
      </c>
      <c r="B119" t="s">
        <v>73</v>
      </c>
    </row>
    <row r="120" spans="1:2" x14ac:dyDescent="0.25">
      <c r="A120">
        <v>37760</v>
      </c>
      <c r="B120" t="s">
        <v>132</v>
      </c>
    </row>
    <row r="121" spans="1:2" x14ac:dyDescent="0.25">
      <c r="A121">
        <v>37810</v>
      </c>
      <c r="B121" t="s">
        <v>133</v>
      </c>
    </row>
    <row r="122" spans="1:2" x14ac:dyDescent="0.25">
      <c r="A122">
        <v>39960</v>
      </c>
      <c r="B122" t="s">
        <v>139</v>
      </c>
    </row>
    <row r="123" spans="1:2" x14ac:dyDescent="0.25">
      <c r="A123">
        <v>40540</v>
      </c>
      <c r="B123" t="s">
        <v>149</v>
      </c>
    </row>
    <row r="124" spans="1:2" x14ac:dyDescent="0.25">
      <c r="A124">
        <v>41050</v>
      </c>
      <c r="B124" t="s">
        <v>151</v>
      </c>
    </row>
    <row r="125" spans="1:2" x14ac:dyDescent="0.25">
      <c r="A125">
        <v>41150</v>
      </c>
      <c r="B125" t="s">
        <v>136</v>
      </c>
    </row>
    <row r="126" spans="1:2" x14ac:dyDescent="0.25">
      <c r="A126">
        <v>41160</v>
      </c>
      <c r="B126" t="s">
        <v>144</v>
      </c>
    </row>
    <row r="127" spans="1:2" x14ac:dyDescent="0.25">
      <c r="A127">
        <v>51780</v>
      </c>
      <c r="B127" t="s">
        <v>166</v>
      </c>
    </row>
    <row r="128" spans="1:2" x14ac:dyDescent="0.25">
      <c r="A128">
        <v>56310</v>
      </c>
      <c r="B128" t="s">
        <v>143</v>
      </c>
    </row>
    <row r="129" spans="1:2" x14ac:dyDescent="0.25">
      <c r="A129">
        <v>57060</v>
      </c>
      <c r="B129" t="s">
        <v>177</v>
      </c>
    </row>
    <row r="130" spans="1:2" x14ac:dyDescent="0.25">
      <c r="A130">
        <v>58270</v>
      </c>
      <c r="B130" t="s">
        <v>28</v>
      </c>
    </row>
    <row r="131" spans="1:2" x14ac:dyDescent="0.25">
      <c r="A131">
        <v>60540</v>
      </c>
      <c r="B131" t="s">
        <v>137</v>
      </c>
    </row>
    <row r="132" spans="1:2" x14ac:dyDescent="0.25">
      <c r="A132">
        <v>60570</v>
      </c>
      <c r="B132" t="s">
        <v>76</v>
      </c>
    </row>
    <row r="133" spans="1:2" x14ac:dyDescent="0.25">
      <c r="A133">
        <v>60930</v>
      </c>
      <c r="B133" t="s">
        <v>62</v>
      </c>
    </row>
    <row r="134" spans="1:2" x14ac:dyDescent="0.25">
      <c r="A134">
        <v>67290</v>
      </c>
      <c r="B134" t="s">
        <v>19</v>
      </c>
    </row>
    <row r="135" spans="1:2" x14ac:dyDescent="0.25">
      <c r="A135">
        <v>67300</v>
      </c>
      <c r="B135" t="s">
        <v>148</v>
      </c>
    </row>
    <row r="136" spans="1:2" x14ac:dyDescent="0.25">
      <c r="A136">
        <v>68040</v>
      </c>
      <c r="B136" t="s">
        <v>140</v>
      </c>
    </row>
    <row r="137" spans="1:2" x14ac:dyDescent="0.25">
      <c r="A137">
        <v>68610</v>
      </c>
      <c r="B137" t="s">
        <v>147</v>
      </c>
    </row>
    <row r="138" spans="1:2" x14ac:dyDescent="0.25">
      <c r="A138">
        <v>69900</v>
      </c>
      <c r="B138" t="s">
        <v>150</v>
      </c>
    </row>
    <row r="139" spans="1:2" x14ac:dyDescent="0.25">
      <c r="A139">
        <v>71880</v>
      </c>
      <c r="B139" t="s">
        <v>240</v>
      </c>
    </row>
    <row r="140" spans="1:2" x14ac:dyDescent="0.25">
      <c r="A140">
        <v>74200</v>
      </c>
      <c r="B140" t="s">
        <v>122</v>
      </c>
    </row>
    <row r="141" spans="1:2" x14ac:dyDescent="0.25">
      <c r="A141">
        <v>74360</v>
      </c>
      <c r="B141" t="s">
        <v>187</v>
      </c>
    </row>
    <row r="142" spans="1:2" x14ac:dyDescent="0.25">
      <c r="A142">
        <v>74450</v>
      </c>
      <c r="B142" t="s">
        <v>171</v>
      </c>
    </row>
    <row r="143" spans="1:2" x14ac:dyDescent="0.25">
      <c r="A143">
        <v>74500</v>
      </c>
      <c r="B143" t="s">
        <v>47</v>
      </c>
    </row>
    <row r="144" spans="1:2" x14ac:dyDescent="0.25">
      <c r="A144">
        <v>75330</v>
      </c>
      <c r="B144" t="s">
        <v>167</v>
      </c>
    </row>
    <row r="145" spans="1:2" x14ac:dyDescent="0.25">
      <c r="A145">
        <v>75730</v>
      </c>
      <c r="B145" t="s">
        <v>185</v>
      </c>
    </row>
    <row r="146" spans="1:2" x14ac:dyDescent="0.25">
      <c r="A146">
        <v>76140</v>
      </c>
      <c r="B146" t="s">
        <v>161</v>
      </c>
    </row>
    <row r="147" spans="1:2" x14ac:dyDescent="0.25">
      <c r="A147">
        <v>76150</v>
      </c>
      <c r="B147" t="s">
        <v>162</v>
      </c>
    </row>
    <row r="148" spans="1:2" x14ac:dyDescent="0.25">
      <c r="A148">
        <v>78020</v>
      </c>
      <c r="B148" t="s">
        <v>97</v>
      </c>
    </row>
    <row r="149" spans="1:2" x14ac:dyDescent="0.25">
      <c r="A149">
        <v>100150</v>
      </c>
      <c r="B149" t="s">
        <v>50</v>
      </c>
    </row>
    <row r="150" spans="1:2" x14ac:dyDescent="0.25">
      <c r="A150">
        <v>101010</v>
      </c>
      <c r="B150" t="s">
        <v>169</v>
      </c>
    </row>
    <row r="151" spans="1:2" x14ac:dyDescent="0.25">
      <c r="A151">
        <v>101280</v>
      </c>
      <c r="B151" t="s">
        <v>61</v>
      </c>
    </row>
    <row r="152" spans="1:2" x14ac:dyDescent="0.25">
      <c r="A152">
        <v>101290</v>
      </c>
      <c r="B152" t="s">
        <v>153</v>
      </c>
    </row>
    <row r="153" spans="1:2" x14ac:dyDescent="0.25">
      <c r="A153">
        <v>101300</v>
      </c>
      <c r="B153" t="s">
        <v>154</v>
      </c>
    </row>
    <row r="154" spans="1:2" x14ac:dyDescent="0.25">
      <c r="A154">
        <v>101310</v>
      </c>
      <c r="B154" t="s">
        <v>155</v>
      </c>
    </row>
    <row r="155" spans="1:2" x14ac:dyDescent="0.25">
      <c r="A155">
        <v>101330</v>
      </c>
      <c r="B155" t="s">
        <v>157</v>
      </c>
    </row>
    <row r="156" spans="1:2" x14ac:dyDescent="0.25">
      <c r="A156">
        <v>102710</v>
      </c>
      <c r="B156" t="s">
        <v>138</v>
      </c>
    </row>
    <row r="157" spans="1:2" x14ac:dyDescent="0.25">
      <c r="A157">
        <v>102720</v>
      </c>
      <c r="B157" t="s">
        <v>98</v>
      </c>
    </row>
    <row r="158" spans="1:2" x14ac:dyDescent="0.25">
      <c r="A158">
        <v>103800</v>
      </c>
      <c r="B158" t="s">
        <v>71</v>
      </c>
    </row>
    <row r="159" spans="1:2" x14ac:dyDescent="0.25">
      <c r="A159">
        <v>105060</v>
      </c>
      <c r="B159" t="s">
        <v>100</v>
      </c>
    </row>
    <row r="160" spans="1:2" x14ac:dyDescent="0.25">
      <c r="A160">
        <v>105070</v>
      </c>
      <c r="B160" t="s">
        <v>77</v>
      </c>
    </row>
    <row r="161" spans="1:2" x14ac:dyDescent="0.25">
      <c r="A161">
        <v>105440</v>
      </c>
      <c r="B161" t="s">
        <v>99</v>
      </c>
    </row>
    <row r="162" spans="1:2" x14ac:dyDescent="0.25">
      <c r="A162">
        <v>107080</v>
      </c>
      <c r="B162" t="s">
        <v>277</v>
      </c>
    </row>
  </sheetData>
  <autoFilter ref="A1:B162" xr:uid="{A2ED5A63-4D89-4DCD-A67A-C485E19E9435}"/>
  <conditionalFormatting sqref="A1:A1048576">
    <cfRule type="duplicateValues" dxfId="0" priority="1"/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14</vt:i4>
      </vt:variant>
    </vt:vector>
  </HeadingPairs>
  <TitlesOfParts>
    <vt:vector size="21" baseType="lpstr">
      <vt:lpstr>Übersichtsplan_Vorlage</vt:lpstr>
      <vt:lpstr>B.Sc.-Ergänzungsmodule</vt:lpstr>
      <vt:lpstr>Wahlpflichtmodule</vt:lpstr>
      <vt:lpstr>Spezialisierungsfach</vt:lpstr>
      <vt:lpstr>Zusammenfassung</vt:lpstr>
      <vt:lpstr>Hinweise</vt:lpstr>
      <vt:lpstr>Modulliste</vt:lpstr>
      <vt:lpstr>B_SF1</vt:lpstr>
      <vt:lpstr>B_SF10</vt:lpstr>
      <vt:lpstr>B_SF11</vt:lpstr>
      <vt:lpstr>B_SF12</vt:lpstr>
      <vt:lpstr>B_SF13</vt:lpstr>
      <vt:lpstr>B_SF14</vt:lpstr>
      <vt:lpstr>B_SF2</vt:lpstr>
      <vt:lpstr>B_SF3</vt:lpstr>
      <vt:lpstr>B_SF4</vt:lpstr>
      <vt:lpstr>B_SF5</vt:lpstr>
      <vt:lpstr>B_SF6</vt:lpstr>
      <vt:lpstr>B_SF7</vt:lpstr>
      <vt:lpstr>B_SF8</vt:lpstr>
      <vt:lpstr>B_SF9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Übersichtsplan_MSC</dc:title>
  <dc:creator>Bettina Rzepka</dc:creator>
  <cp:lastModifiedBy>Bettina Rzepka</cp:lastModifiedBy>
  <cp:lastPrinted>2022-07-07T13:39:19Z</cp:lastPrinted>
  <dcterms:created xsi:type="dcterms:W3CDTF">2022-04-29T06:28:12Z</dcterms:created>
  <dcterms:modified xsi:type="dcterms:W3CDTF">2023-03-10T10:03:37Z</dcterms:modified>
</cp:coreProperties>
</file>